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面试成绩+总成绩" sheetId="1" r:id="rId1"/>
  </sheets>
  <definedNames>
    <definedName name="岗位代码" localSheetId="0">'面试成绩+总成绩'!$B$4:$B$92</definedName>
    <definedName name="综合成绩" localSheetId="0">#REF!</definedName>
    <definedName name="_xlnm.Print_Area" localSheetId="0">'面试成绩+总成绩'!$A$1:$K$172</definedName>
    <definedName name="_xlnm._FilterDatabase" localSheetId="0" hidden="1">'面试成绩+总成绩'!$B$1:$J$96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<sst xmlns="http://schemas.openxmlformats.org/spreadsheetml/2006/main" count="625" uniqueCount="163">
  <si>
    <t>随州市事业单位2025年下半年统一公开招聘面试成绩及总成绩（市直非医疗卫生类岗位）</t>
  </si>
  <si>
    <t>（一）参加笔试岗位（89人）</t>
  </si>
  <si>
    <t>序号</t>
  </si>
  <si>
    <t>岗位代码</t>
  </si>
  <si>
    <t>岗位名称</t>
  </si>
  <si>
    <t>主管部门名称</t>
  </si>
  <si>
    <t>招聘单位</t>
  </si>
  <si>
    <t>招考人数</t>
  </si>
  <si>
    <t>姓 名</t>
  </si>
  <si>
    <t>准考证号</t>
  </si>
  <si>
    <r>
      <rPr>
        <b/>
        <sz val="11"/>
        <rFont val="宋体"/>
        <charset val="134"/>
      </rPr>
      <t xml:space="preserve">笔试百分制成绩
</t>
    </r>
    <r>
      <rPr>
        <b/>
        <sz val="11"/>
        <color rgb="FFFF0000"/>
        <rFont val="宋体"/>
        <charset val="134"/>
      </rPr>
      <t>（40%）</t>
    </r>
  </si>
  <si>
    <r>
      <rPr>
        <b/>
        <sz val="11"/>
        <rFont val="宋体"/>
        <charset val="134"/>
      </rPr>
      <t xml:space="preserve">面试百分制成绩
</t>
    </r>
    <r>
      <rPr>
        <b/>
        <sz val="11"/>
        <color rgb="FFFF0000"/>
        <rFont val="宋体"/>
        <charset val="134"/>
      </rPr>
      <t>（60%）</t>
    </r>
  </si>
  <si>
    <t>总成绩</t>
  </si>
  <si>
    <t>专业技术岗</t>
  </si>
  <si>
    <t>随州市纪委监委机关</t>
  </si>
  <si>
    <t>随州市纪委监委机关留置管理中心</t>
  </si>
  <si>
    <t>工作人员</t>
  </si>
  <si>
    <t>中共随州市委宣传部</t>
  </si>
  <si>
    <t>随州市精神文明建设指导服务中心</t>
  </si>
  <si>
    <t>缺考</t>
  </si>
  <si>
    <t>教务工作人员</t>
  </si>
  <si>
    <t>随州市委老干部局</t>
  </si>
  <si>
    <t>随州市老年大学</t>
  </si>
  <si>
    <t>后勤服务人员</t>
  </si>
  <si>
    <t>融媒体技术</t>
  </si>
  <si>
    <t>随州市融媒体中心</t>
  </si>
  <si>
    <t>广播电视技术</t>
  </si>
  <si>
    <t>随州市中波实验台</t>
  </si>
  <si>
    <t>财务会计</t>
  </si>
  <si>
    <t>随州市总工会</t>
  </si>
  <si>
    <t>随州市职工服务中心</t>
  </si>
  <si>
    <t>随州市司法局</t>
  </si>
  <si>
    <t>随州市法律援助中心</t>
  </si>
  <si>
    <t>工程管理人员</t>
  </si>
  <si>
    <t>随州市住房和城市更新局</t>
  </si>
  <si>
    <t>随州市城市防洪排水事业发展中心</t>
  </si>
  <si>
    <t>工程施工人员</t>
  </si>
  <si>
    <t>财务人员</t>
  </si>
  <si>
    <t>随州市住房和城市更新重点项目服务中心（市燃气服务中心）</t>
  </si>
  <si>
    <t>工作人员1</t>
  </si>
  <si>
    <t>张鹏</t>
  </si>
  <si>
    <t>202511026825</t>
  </si>
  <si>
    <t>胡子贤</t>
  </si>
  <si>
    <t>202511026903</t>
  </si>
  <si>
    <t>叶彬宇</t>
  </si>
  <si>
    <t>202511026821</t>
  </si>
  <si>
    <t>工作人员2</t>
  </si>
  <si>
    <t>信息系统管理员</t>
  </si>
  <si>
    <t>随州市住房和城市更新信息中心</t>
  </si>
  <si>
    <t>专业技术人员</t>
  </si>
  <si>
    <t>随州市市政工程质量监督站</t>
  </si>
  <si>
    <t>船舶检验岗</t>
  </si>
  <si>
    <t>随州市交通运输局</t>
  </si>
  <si>
    <t>随州市交通物流发展中心</t>
  </si>
  <si>
    <t>工程技术岗</t>
  </si>
  <si>
    <t>随州市公路事业发展中心</t>
  </si>
  <si>
    <t>财务会计岗</t>
  </si>
  <si>
    <t>农业技术人员</t>
  </si>
  <si>
    <t>随州市农业农村局</t>
  </si>
  <si>
    <t>随州市蔬菜事业发展中心</t>
  </si>
  <si>
    <t>行政管理岗</t>
  </si>
  <si>
    <t>随州市应急管理局</t>
  </si>
  <si>
    <t>随州市应急物资储备中心</t>
  </si>
  <si>
    <t>专业技术岗1</t>
  </si>
  <si>
    <t>随州市审计局</t>
  </si>
  <si>
    <t>随州市投资审计中心</t>
  </si>
  <si>
    <t>专业技术岗2</t>
  </si>
  <si>
    <t>（二）免笔试岗位（73人）</t>
  </si>
  <si>
    <t>1、结构化面试岗位（58人）</t>
  </si>
  <si>
    <t>面试百分制成绩（即总成绩）</t>
  </si>
  <si>
    <t>融媒体采编1</t>
  </si>
  <si>
    <t>任玲</t>
  </si>
  <si>
    <t>谈显鑫</t>
  </si>
  <si>
    <t>李茜茜</t>
  </si>
  <si>
    <t>刘芊慧</t>
  </si>
  <si>
    <t>张熙</t>
  </si>
  <si>
    <t>汽车造型与改装技术专业教师</t>
  </si>
  <si>
    <t>随州市人力资源和社会保障局</t>
  </si>
  <si>
    <t>随州技师学院</t>
  </si>
  <si>
    <t>张静</t>
  </si>
  <si>
    <t>曹婧</t>
  </si>
  <si>
    <t>机电一体化技术专业教师</t>
  </si>
  <si>
    <t>何絮</t>
  </si>
  <si>
    <t>向春妮</t>
  </si>
  <si>
    <t>黄星宇</t>
  </si>
  <si>
    <t>计算机网络技术专业教师</t>
  </si>
  <si>
    <t>赵子怡</t>
  </si>
  <si>
    <t>电子商务专业教师</t>
  </si>
  <si>
    <t>戢淑媛</t>
  </si>
  <si>
    <t>李雨滒</t>
  </si>
  <si>
    <t>王晗影</t>
  </si>
  <si>
    <t>刘行</t>
  </si>
  <si>
    <t>智能焊接技术专业教师</t>
  </si>
  <si>
    <t>邓嘉豪</t>
  </si>
  <si>
    <t>模具设计与制造专业教师</t>
  </si>
  <si>
    <t>李向东</t>
  </si>
  <si>
    <t>高中生物教师</t>
  </si>
  <si>
    <t>牟璐</t>
  </si>
  <si>
    <t>陆立雯</t>
  </si>
  <si>
    <t>李梦婷</t>
  </si>
  <si>
    <t>閤伶雪</t>
  </si>
  <si>
    <t>周康利</t>
  </si>
  <si>
    <t>顾兆雷</t>
  </si>
  <si>
    <t>项婉璐</t>
  </si>
  <si>
    <t>向易</t>
  </si>
  <si>
    <t>吴俊菲</t>
  </si>
  <si>
    <t>王飞儿</t>
  </si>
  <si>
    <t>黄开乐</t>
  </si>
  <si>
    <t>物流发展岗</t>
  </si>
  <si>
    <t>余凌峰</t>
  </si>
  <si>
    <t>张可昕</t>
  </si>
  <si>
    <t>周丽丽</t>
  </si>
  <si>
    <t>姚冰洁</t>
  </si>
  <si>
    <t>饶睦威</t>
  </si>
  <si>
    <t>左平聪</t>
  </si>
  <si>
    <t>邹露平</t>
  </si>
  <si>
    <t>刘立萍</t>
  </si>
  <si>
    <t>邹慧芳</t>
  </si>
  <si>
    <t>黄卢杏</t>
  </si>
  <si>
    <t>林玲</t>
  </si>
  <si>
    <t>随州市公共检验检测中心</t>
  </si>
  <si>
    <t>穆青</t>
  </si>
  <si>
    <t>张思</t>
  </si>
  <si>
    <t>付千</t>
  </si>
  <si>
    <t>丁爽</t>
  </si>
  <si>
    <t>李博宁</t>
  </si>
  <si>
    <t>墙薇</t>
  </si>
  <si>
    <t>宋重阳</t>
  </si>
  <si>
    <t>叶玉源</t>
  </si>
  <si>
    <t>张倩倩</t>
  </si>
  <si>
    <t>宋丹</t>
  </si>
  <si>
    <t>阮中婷</t>
  </si>
  <si>
    <t>王金星</t>
  </si>
  <si>
    <t>何放</t>
  </si>
  <si>
    <t>张靖婧</t>
  </si>
  <si>
    <t>李倩倩</t>
  </si>
  <si>
    <t>伍甜甜</t>
  </si>
  <si>
    <t>杨蝶</t>
  </si>
  <si>
    <t>刘冲</t>
  </si>
  <si>
    <t>刘杰</t>
  </si>
  <si>
    <t>弃考</t>
  </si>
  <si>
    <t>2、专业测试+结构化面试岗位（15人）</t>
  </si>
  <si>
    <r>
      <rPr>
        <b/>
        <sz val="11"/>
        <rFont val="宋体"/>
        <charset val="134"/>
      </rPr>
      <t xml:space="preserve">面试第一环节（专业测试）
百分制成绩
</t>
    </r>
    <r>
      <rPr>
        <b/>
        <sz val="11"/>
        <color rgb="FFFF0000"/>
        <rFont val="宋体"/>
        <charset val="134"/>
      </rPr>
      <t>（50%）</t>
    </r>
  </si>
  <si>
    <r>
      <rPr>
        <b/>
        <sz val="11"/>
        <rFont val="宋体"/>
        <charset val="134"/>
      </rPr>
      <t xml:space="preserve">面试第二环节（结构化面试）百分制成绩
</t>
    </r>
    <r>
      <rPr>
        <b/>
        <sz val="11"/>
        <color rgb="FFFF0000"/>
        <rFont val="宋体"/>
        <charset val="134"/>
      </rPr>
      <t>（50%）</t>
    </r>
  </si>
  <si>
    <t>综合管理岗</t>
  </si>
  <si>
    <t>随州市人民政府国有资产监督管理委员会</t>
  </si>
  <si>
    <t>随州市国有资产管理服务中心</t>
  </si>
  <si>
    <t>朱耀东</t>
  </si>
  <si>
    <t>毕钊辉</t>
  </si>
  <si>
    <t>刘竞潞</t>
  </si>
  <si>
    <t>陈世文</t>
  </si>
  <si>
    <t>黄健</t>
  </si>
  <si>
    <t>财务审监岗</t>
  </si>
  <si>
    <t>刘杨</t>
  </si>
  <si>
    <t>李文月</t>
  </si>
  <si>
    <t>陈紫薇</t>
  </si>
  <si>
    <t>胡建业</t>
  </si>
  <si>
    <t>邹林峰</t>
  </si>
  <si>
    <t>孟庆龄</t>
  </si>
  <si>
    <t>姚丽</t>
  </si>
  <si>
    <t>程成</t>
  </si>
  <si>
    <t>闻若澜</t>
  </si>
  <si>
    <t>沈娜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</si>
</sst>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);[Red]\(0.0000\)"/>
    <numFmt numFmtId="178" formatCode="0.00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5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6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52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NumberFormat="1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NumberFormat="1" applyFont="1" applyFill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176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77" fontId="1" fillId="2" borderId="7" xfId="0" applyNumberFormat="1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178" fontId="1" fillId="2" borderId="9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4" fillId="2" borderId="0" xfId="0" applyNumberFormat="1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 vertical="center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2" borderId="7" xfId="0" applyNumberFormat="1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9" fontId="4" fillId="2" borderId="0" xfId="0" applyNumberFormat="1" applyFont="1" applyFill="1" applyAlignment="1" applyProtection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77" fontId="1" fillId="2" borderId="18" xfId="0" applyNumberFormat="1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center" vertical="center"/>
    </xf>
    <xf numFmtId="178" fontId="1" fillId="2" borderId="16" xfId="0" applyNumberFormat="1" applyFont="1" applyFill="1" applyBorder="1" applyAlignment="1">
      <alignment horizontal="center" vertical="center"/>
    </xf>
    <xf numFmtId="177" fontId="1" fillId="2" borderId="6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2"/>
  <sheetViews>
    <sheetView tabSelected="1" zoomScale="70" zoomScaleNormal="70" zoomScaleSheetLayoutView="60" workbookViewId="0">
      <selection activeCell="B1" sqref="B1:J1"/>
    </sheetView>
  </sheetViews>
  <sheetFormatPr defaultColWidth="9" defaultRowHeight="21.95" customHeight="1"/>
  <cols>
    <col min="1" max="1" width="5.39166666666667" style="2" customWidth="1"/>
    <col min="2" max="2" width="6.98333333333333" style="2" customWidth="1"/>
    <col min="3" max="3" width="29.5166666666667" style="2" customWidth="1"/>
    <col min="4" max="4" width="41.2666666666667" style="2" customWidth="1"/>
    <col min="5" max="5" width="60.3166666666667" style="3" customWidth="1"/>
    <col min="6" max="6" width="6.98333333333333" style="3" customWidth="1"/>
    <col min="7" max="7" width="11" style="2" customWidth="1"/>
    <col min="8" max="8" width="16.1083333333333" style="2" customWidth="1"/>
    <col min="9" max="9" width="17.6416666666667" style="4" customWidth="1"/>
    <col min="10" max="10" width="17.9916666666667" style="5" customWidth="1"/>
    <col min="11" max="11" width="15.3416666666667" style="2" customWidth="1"/>
    <col min="12" max="12" width="18.8666666666667" style="2" customWidth="1"/>
    <col min="13" max="13" width="19.925" style="2" customWidth="1"/>
    <col min="14" max="66" width="9" style="2" customWidth="1"/>
    <col min="67" max="252" width="9" style="2"/>
    <col min="253" max="16384" width="9" style="6"/>
  </cols>
  <sheetData>
    <row r="1" s="1" customFormat="1" ht="52" customHeight="1" spans="1:11">
      <c r="B1" s="7" t="s">
        <v>0</v>
      </c>
      <c r="C1" s="7"/>
      <c r="D1" s="7"/>
      <c r="E1" s="8"/>
      <c r="F1" s="8"/>
      <c r="G1" s="7"/>
      <c r="H1" s="7"/>
      <c r="I1" s="7"/>
      <c r="J1" s="9"/>
    </row>
    <row r="2" s="1" customFormat="1" ht="32" customHeight="1" spans="1:11">
      <c r="B2" s="10" t="s">
        <v>1</v>
      </c>
      <c r="C2" s="10"/>
      <c r="D2" s="10"/>
      <c r="E2" s="10"/>
      <c r="F2" s="10"/>
      <c r="G2" s="10"/>
      <c r="H2" s="10"/>
      <c r="I2" s="10"/>
      <c r="J2" s="11"/>
    </row>
    <row r="3" s="1" customFormat="1" ht="46" customHeight="1" spans="1:11">
      <c r="A3" s="12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5" t="s">
        <v>7</v>
      </c>
      <c r="G3" s="14" t="s">
        <v>8</v>
      </c>
      <c r="H3" s="14" t="s">
        <v>9</v>
      </c>
      <c r="I3" s="16" t="s">
        <v>10</v>
      </c>
      <c r="J3" s="17" t="s">
        <v>11</v>
      </c>
      <c r="K3" s="17" t="s">
        <v>12</v>
      </c>
    </row>
    <row r="4" s="2" customFormat="1" ht="22" customHeight="1" spans="1:11">
      <c r="A4" s="18">
        <v>1</v>
      </c>
      <c r="B4" s="19" t="str">
        <f t="shared" ref="B4:B9" si="0">"25001"</f>
        <v>25001</v>
      </c>
      <c r="C4" s="20" t="s">
        <v>13</v>
      </c>
      <c r="D4" s="20" t="s">
        <v>14</v>
      </c>
      <c r="E4" s="21" t="s">
        <v>15</v>
      </c>
      <c r="F4" s="21">
        <v>2</v>
      </c>
      <c r="G4" s="20" t="str">
        <f>"黄牧遥"</f>
        <v>黄牧遥</v>
      </c>
      <c r="H4" s="20" t="str">
        <f>"202511026010"</f>
        <v>202511026010</v>
      </c>
      <c r="I4" s="22">
        <v>80.3533333333333</v>
      </c>
      <c r="J4" s="23">
        <v>86</v>
      </c>
      <c r="K4" s="24">
        <f t="shared" ref="K4:K13" si="1">I4*0.4+J4*0.6</f>
        <v>83.7413333333333</v>
      </c>
    </row>
    <row r="5" s="2" customFormat="1" ht="22" customHeight="1" spans="1:11">
      <c r="A5" s="18">
        <v>2</v>
      </c>
      <c r="B5" s="19" t="str">
        <f t="shared" si="0"/>
        <v>25001</v>
      </c>
      <c r="C5" s="20" t="s">
        <v>13</v>
      </c>
      <c r="D5" s="20" t="s">
        <v>14</v>
      </c>
      <c r="E5" s="21" t="s">
        <v>15</v>
      </c>
      <c r="F5" s="21">
        <v>2</v>
      </c>
      <c r="G5" s="20" t="str">
        <f>"胡钢"</f>
        <v>胡钢</v>
      </c>
      <c r="H5" s="20" t="str">
        <f>"202511026008"</f>
        <v>202511026008</v>
      </c>
      <c r="I5" s="22">
        <v>75.5633</v>
      </c>
      <c r="J5" s="23">
        <v>79.64</v>
      </c>
      <c r="K5" s="24">
        <f t="shared" si="1"/>
        <v>78.00932</v>
      </c>
    </row>
    <row r="6" s="2" customFormat="1" ht="22" customHeight="1" spans="1:11">
      <c r="A6" s="18">
        <v>3</v>
      </c>
      <c r="B6" s="19" t="str">
        <f t="shared" si="0"/>
        <v>25001</v>
      </c>
      <c r="C6" s="20" t="s">
        <v>13</v>
      </c>
      <c r="D6" s="20" t="s">
        <v>14</v>
      </c>
      <c r="E6" s="21" t="s">
        <v>15</v>
      </c>
      <c r="F6" s="21">
        <v>2</v>
      </c>
      <c r="G6" s="20" t="str">
        <f>"胡建军"</f>
        <v>胡建军</v>
      </c>
      <c r="H6" s="20" t="str">
        <f>"202511026004"</f>
        <v>202511026004</v>
      </c>
      <c r="I6" s="22">
        <v>75.7033333333333</v>
      </c>
      <c r="J6" s="23">
        <v>77.5</v>
      </c>
      <c r="K6" s="24">
        <f t="shared" si="1"/>
        <v>76.7813333333333</v>
      </c>
    </row>
    <row r="7" s="2" customFormat="1" ht="22" customHeight="1" spans="1:11">
      <c r="A7" s="18">
        <v>4</v>
      </c>
      <c r="B7" s="19" t="str">
        <f t="shared" si="0"/>
        <v>25001</v>
      </c>
      <c r="C7" s="20" t="s">
        <v>13</v>
      </c>
      <c r="D7" s="20" t="s">
        <v>14</v>
      </c>
      <c r="E7" s="21" t="s">
        <v>15</v>
      </c>
      <c r="F7" s="21">
        <v>2</v>
      </c>
      <c r="G7" s="20" t="str">
        <f>"李金伙"</f>
        <v>李金伙</v>
      </c>
      <c r="H7" s="20" t="str">
        <f>"202511026007"</f>
        <v>202511026007</v>
      </c>
      <c r="I7" s="22">
        <v>76.0566666666667</v>
      </c>
      <c r="J7" s="23">
        <v>75.72</v>
      </c>
      <c r="K7" s="24">
        <f t="shared" si="1"/>
        <v>75.8546666666667</v>
      </c>
    </row>
    <row r="8" s="2" customFormat="1" ht="22" customHeight="1" spans="1:11">
      <c r="A8" s="18">
        <v>5</v>
      </c>
      <c r="B8" s="19" t="str">
        <f t="shared" si="0"/>
        <v>25001</v>
      </c>
      <c r="C8" s="20" t="s">
        <v>13</v>
      </c>
      <c r="D8" s="20" t="s">
        <v>14</v>
      </c>
      <c r="E8" s="21" t="s">
        <v>15</v>
      </c>
      <c r="F8" s="21">
        <v>2</v>
      </c>
      <c r="G8" s="20" t="str">
        <f>"王彩艳"</f>
        <v>王彩艳</v>
      </c>
      <c r="H8" s="20" t="str">
        <f>"202511026014"</f>
        <v>202511026014</v>
      </c>
      <c r="I8" s="22">
        <v>76.0866666666667</v>
      </c>
      <c r="J8" s="23">
        <v>74.92</v>
      </c>
      <c r="K8" s="24">
        <f t="shared" si="1"/>
        <v>75.3866666666667</v>
      </c>
    </row>
    <row r="9" s="2" customFormat="1" ht="22" customHeight="1" spans="1:11">
      <c r="A9" s="18">
        <v>6</v>
      </c>
      <c r="B9" s="19" t="str">
        <f t="shared" si="0"/>
        <v>25001</v>
      </c>
      <c r="C9" s="20" t="s">
        <v>13</v>
      </c>
      <c r="D9" s="20" t="s">
        <v>14</v>
      </c>
      <c r="E9" s="21" t="s">
        <v>15</v>
      </c>
      <c r="F9" s="21">
        <v>2</v>
      </c>
      <c r="G9" s="20" t="str">
        <f>"管照成"</f>
        <v>管照成</v>
      </c>
      <c r="H9" s="20" t="str">
        <f>"202511026009"</f>
        <v>202511026009</v>
      </c>
      <c r="I9" s="22">
        <v>76.6</v>
      </c>
      <c r="J9" s="23">
        <v>71.64</v>
      </c>
      <c r="K9" s="24">
        <f t="shared" si="1"/>
        <v>73.624</v>
      </c>
    </row>
    <row r="10" s="2" customFormat="1" ht="22" customHeight="1" spans="1:11">
      <c r="A10" s="18">
        <v>7</v>
      </c>
      <c r="B10" s="19" t="str">
        <f t="shared" ref="B10:B15" si="2">"25002"</f>
        <v>25002</v>
      </c>
      <c r="C10" s="20" t="s">
        <v>16</v>
      </c>
      <c r="D10" s="20" t="s">
        <v>17</v>
      </c>
      <c r="E10" s="21" t="s">
        <v>18</v>
      </c>
      <c r="F10" s="21">
        <v>2</v>
      </c>
      <c r="G10" s="20" t="str">
        <f>"蒋瑞明"</f>
        <v>蒋瑞明</v>
      </c>
      <c r="H10" s="20" t="str">
        <f>"202511010309"</f>
        <v>202511010309</v>
      </c>
      <c r="I10" s="22">
        <v>85.44</v>
      </c>
      <c r="J10" s="23">
        <v>80.08</v>
      </c>
      <c r="K10" s="24">
        <f t="shared" si="1"/>
        <v>82.224</v>
      </c>
    </row>
    <row r="11" s="2" customFormat="1" ht="22" customHeight="1" spans="1:11">
      <c r="A11" s="18">
        <v>8</v>
      </c>
      <c r="B11" s="19" t="str">
        <f t="shared" si="2"/>
        <v>25002</v>
      </c>
      <c r="C11" s="20" t="s">
        <v>16</v>
      </c>
      <c r="D11" s="20" t="s">
        <v>17</v>
      </c>
      <c r="E11" s="21" t="s">
        <v>18</v>
      </c>
      <c r="F11" s="21">
        <v>2</v>
      </c>
      <c r="G11" s="20" t="str">
        <f>"魏文静"</f>
        <v>魏文静</v>
      </c>
      <c r="H11" s="20" t="str">
        <f>"202511010509"</f>
        <v>202511010509</v>
      </c>
      <c r="I11" s="22">
        <v>85.4</v>
      </c>
      <c r="J11" s="23">
        <v>79.96</v>
      </c>
      <c r="K11" s="24">
        <f t="shared" si="1"/>
        <v>82.136</v>
      </c>
    </row>
    <row r="12" s="2" customFormat="1" ht="22" customHeight="1" spans="1:11">
      <c r="A12" s="18">
        <v>9</v>
      </c>
      <c r="B12" s="19" t="str">
        <f t="shared" si="2"/>
        <v>25002</v>
      </c>
      <c r="C12" s="20" t="s">
        <v>16</v>
      </c>
      <c r="D12" s="20" t="s">
        <v>17</v>
      </c>
      <c r="E12" s="21" t="s">
        <v>18</v>
      </c>
      <c r="F12" s="21">
        <v>2</v>
      </c>
      <c r="G12" s="20" t="str">
        <f>"龙瑞彤"</f>
        <v>龙瑞彤</v>
      </c>
      <c r="H12" s="20" t="str">
        <f>"202511010616"</f>
        <v>202511010616</v>
      </c>
      <c r="I12" s="22">
        <v>83.8733333333333</v>
      </c>
      <c r="J12" s="23">
        <v>80.74</v>
      </c>
      <c r="K12" s="24">
        <f t="shared" si="1"/>
        <v>81.9933333333333</v>
      </c>
    </row>
    <row r="13" s="2" customFormat="1" ht="22" customHeight="1" spans="1:11">
      <c r="A13" s="18">
        <v>10</v>
      </c>
      <c r="B13" s="19" t="str">
        <f t="shared" si="2"/>
        <v>25002</v>
      </c>
      <c r="C13" s="20" t="s">
        <v>16</v>
      </c>
      <c r="D13" s="20" t="s">
        <v>17</v>
      </c>
      <c r="E13" s="21" t="s">
        <v>18</v>
      </c>
      <c r="F13" s="21">
        <v>2</v>
      </c>
      <c r="G13" s="20" t="str">
        <f>"王晓萌"</f>
        <v>王晓萌</v>
      </c>
      <c r="H13" s="20" t="str">
        <f>"202511010812"</f>
        <v>202511010812</v>
      </c>
      <c r="I13" s="22">
        <v>83.3366666666667</v>
      </c>
      <c r="J13" s="23">
        <v>79.62</v>
      </c>
      <c r="K13" s="24">
        <f t="shared" si="1"/>
        <v>81.1066666666667</v>
      </c>
    </row>
    <row r="14" s="2" customFormat="1" ht="22" customHeight="1" spans="1:11">
      <c r="A14" s="18">
        <v>11</v>
      </c>
      <c r="B14" s="19" t="str">
        <f t="shared" si="2"/>
        <v>25002</v>
      </c>
      <c r="C14" s="20" t="s">
        <v>16</v>
      </c>
      <c r="D14" s="20" t="s">
        <v>17</v>
      </c>
      <c r="E14" s="21" t="s">
        <v>18</v>
      </c>
      <c r="F14" s="21">
        <v>2</v>
      </c>
      <c r="G14" s="20" t="str">
        <f>"刘映伶"</f>
        <v>刘映伶</v>
      </c>
      <c r="H14" s="20" t="str">
        <f>"202511010109"</f>
        <v>202511010109</v>
      </c>
      <c r="I14" s="22">
        <v>85.2433333333333</v>
      </c>
      <c r="J14" s="25" t="s">
        <v>19</v>
      </c>
      <c r="K14" s="24">
        <f>I14*0.4</f>
        <v>34.0973333333333</v>
      </c>
    </row>
    <row r="15" s="2" customFormat="1" ht="22" customHeight="1" spans="1:11">
      <c r="A15" s="18">
        <v>12</v>
      </c>
      <c r="B15" s="19" t="str">
        <f t="shared" si="2"/>
        <v>25002</v>
      </c>
      <c r="C15" s="20" t="s">
        <v>16</v>
      </c>
      <c r="D15" s="20" t="s">
        <v>17</v>
      </c>
      <c r="E15" s="21" t="s">
        <v>18</v>
      </c>
      <c r="F15" s="21">
        <v>2</v>
      </c>
      <c r="G15" s="20" t="str">
        <f>"齐麟"</f>
        <v>齐麟</v>
      </c>
      <c r="H15" s="20" t="str">
        <f>"202511010904"</f>
        <v>202511010904</v>
      </c>
      <c r="I15" s="22">
        <v>84.4766666666667</v>
      </c>
      <c r="J15" s="25" t="s">
        <v>19</v>
      </c>
      <c r="K15" s="24">
        <f>I15*0.4</f>
        <v>33.7906666666667</v>
      </c>
    </row>
    <row r="16" s="2" customFormat="1" ht="22" customHeight="1" spans="1:11">
      <c r="A16" s="18">
        <v>13</v>
      </c>
      <c r="B16" s="19" t="str">
        <f t="shared" ref="B16:B18" si="3">"25003"</f>
        <v>25003</v>
      </c>
      <c r="C16" s="20" t="s">
        <v>20</v>
      </c>
      <c r="D16" s="20" t="s">
        <v>21</v>
      </c>
      <c r="E16" s="21" t="s">
        <v>22</v>
      </c>
      <c r="F16" s="21">
        <v>1</v>
      </c>
      <c r="G16" s="20" t="str">
        <f>"姬宇帆"</f>
        <v>姬宇帆</v>
      </c>
      <c r="H16" s="20" t="str">
        <f>"202511011122"</f>
        <v>202511011122</v>
      </c>
      <c r="I16" s="22">
        <v>82.4033</v>
      </c>
      <c r="J16" s="23">
        <v>80.92</v>
      </c>
      <c r="K16" s="24">
        <f t="shared" ref="K16:K23" si="4">I16*0.4+J16*0.6</f>
        <v>81.51332</v>
      </c>
    </row>
    <row r="17" s="2" customFormat="1" ht="22" customHeight="1" spans="1:11">
      <c r="A17" s="18">
        <v>14</v>
      </c>
      <c r="B17" s="19" t="str">
        <f t="shared" si="3"/>
        <v>25003</v>
      </c>
      <c r="C17" s="20" t="s">
        <v>20</v>
      </c>
      <c r="D17" s="20" t="s">
        <v>21</v>
      </c>
      <c r="E17" s="21" t="s">
        <v>22</v>
      </c>
      <c r="F17" s="21">
        <v>1</v>
      </c>
      <c r="G17" s="20" t="str">
        <f>"谢可心"</f>
        <v>谢可心</v>
      </c>
      <c r="H17" s="20" t="str">
        <f>"202511011318"</f>
        <v>202511011318</v>
      </c>
      <c r="I17" s="22">
        <v>80.98</v>
      </c>
      <c r="J17" s="23">
        <v>80.82</v>
      </c>
      <c r="K17" s="24">
        <f t="shared" si="4"/>
        <v>80.884</v>
      </c>
    </row>
    <row r="18" s="2" customFormat="1" ht="22" customHeight="1" spans="1:11">
      <c r="A18" s="18">
        <v>15</v>
      </c>
      <c r="B18" s="19" t="str">
        <f t="shared" si="3"/>
        <v>25003</v>
      </c>
      <c r="C18" s="20" t="s">
        <v>20</v>
      </c>
      <c r="D18" s="20" t="s">
        <v>21</v>
      </c>
      <c r="E18" s="21" t="s">
        <v>22</v>
      </c>
      <c r="F18" s="21">
        <v>1</v>
      </c>
      <c r="G18" s="20" t="str">
        <f>"曾谨驰"</f>
        <v>曾谨驰</v>
      </c>
      <c r="H18" s="20" t="str">
        <f>"202511011424"</f>
        <v>202511011424</v>
      </c>
      <c r="I18" s="22">
        <v>80.8667</v>
      </c>
      <c r="J18" s="23">
        <v>77.84</v>
      </c>
      <c r="K18" s="24">
        <f t="shared" si="4"/>
        <v>79.05068</v>
      </c>
    </row>
    <row r="19" s="2" customFormat="1" ht="22" customHeight="1" spans="1:11">
      <c r="A19" s="18">
        <v>16</v>
      </c>
      <c r="B19" s="19" t="str">
        <f t="shared" ref="B19:B21" si="5">"25004"</f>
        <v>25004</v>
      </c>
      <c r="C19" s="20" t="s">
        <v>23</v>
      </c>
      <c r="D19" s="20" t="s">
        <v>21</v>
      </c>
      <c r="E19" s="21" t="s">
        <v>22</v>
      </c>
      <c r="F19" s="21">
        <v>1</v>
      </c>
      <c r="G19" s="20" t="str">
        <f>"罗世济"</f>
        <v>罗世济</v>
      </c>
      <c r="H19" s="20" t="str">
        <f>"202511011607"</f>
        <v>202511011607</v>
      </c>
      <c r="I19" s="22">
        <v>82.9167</v>
      </c>
      <c r="J19" s="23">
        <v>84.58</v>
      </c>
      <c r="K19" s="24">
        <f t="shared" si="4"/>
        <v>83.91468</v>
      </c>
    </row>
    <row r="20" s="2" customFormat="1" ht="22" customHeight="1" spans="1:11">
      <c r="A20" s="18">
        <v>17</v>
      </c>
      <c r="B20" s="19" t="str">
        <f t="shared" si="5"/>
        <v>25004</v>
      </c>
      <c r="C20" s="20" t="s">
        <v>23</v>
      </c>
      <c r="D20" s="20" t="s">
        <v>21</v>
      </c>
      <c r="E20" s="21" t="s">
        <v>22</v>
      </c>
      <c r="F20" s="21">
        <v>1</v>
      </c>
      <c r="G20" s="20" t="str">
        <f>"张晨曦"</f>
        <v>张晨曦</v>
      </c>
      <c r="H20" s="20" t="str">
        <f>"202511011501"</f>
        <v>202511011501</v>
      </c>
      <c r="I20" s="22">
        <v>81.3</v>
      </c>
      <c r="J20" s="23">
        <v>83.64</v>
      </c>
      <c r="K20" s="24">
        <f t="shared" si="4"/>
        <v>82.704</v>
      </c>
    </row>
    <row r="21" s="2" customFormat="1" ht="22" customHeight="1" spans="1:11">
      <c r="A21" s="18">
        <v>18</v>
      </c>
      <c r="B21" s="19" t="str">
        <f t="shared" si="5"/>
        <v>25004</v>
      </c>
      <c r="C21" s="20" t="s">
        <v>23</v>
      </c>
      <c r="D21" s="20" t="s">
        <v>21</v>
      </c>
      <c r="E21" s="21" t="s">
        <v>22</v>
      </c>
      <c r="F21" s="21">
        <v>1</v>
      </c>
      <c r="G21" s="20" t="str">
        <f>"卢莹"</f>
        <v>卢莹</v>
      </c>
      <c r="H21" s="20" t="str">
        <f>"202511011523"</f>
        <v>202511011523</v>
      </c>
      <c r="I21" s="22">
        <v>81.49</v>
      </c>
      <c r="J21" s="23">
        <v>80.88</v>
      </c>
      <c r="K21" s="24">
        <f t="shared" si="4"/>
        <v>81.124</v>
      </c>
    </row>
    <row r="22" s="2" customFormat="1" ht="22" customHeight="1" spans="1:11">
      <c r="A22" s="18">
        <v>19</v>
      </c>
      <c r="B22" s="19" t="str">
        <f t="shared" ref="B22:B24" si="6">"25007"</f>
        <v>25007</v>
      </c>
      <c r="C22" s="20" t="s">
        <v>24</v>
      </c>
      <c r="D22" s="20" t="s">
        <v>25</v>
      </c>
      <c r="E22" s="21" t="s">
        <v>25</v>
      </c>
      <c r="F22" s="21">
        <v>1</v>
      </c>
      <c r="G22" s="20" t="str">
        <f>"梅子晗"</f>
        <v>梅子晗</v>
      </c>
      <c r="H22" s="20" t="str">
        <f>"202511025330"</f>
        <v>202511025330</v>
      </c>
      <c r="I22" s="22">
        <v>85.5133</v>
      </c>
      <c r="J22" s="23">
        <v>88.6</v>
      </c>
      <c r="K22" s="24">
        <f t="shared" si="4"/>
        <v>87.36532</v>
      </c>
    </row>
    <row r="23" s="2" customFormat="1" ht="22" customHeight="1" spans="1:11">
      <c r="A23" s="18">
        <v>20</v>
      </c>
      <c r="B23" s="19" t="str">
        <f t="shared" si="6"/>
        <v>25007</v>
      </c>
      <c r="C23" s="20" t="s">
        <v>24</v>
      </c>
      <c r="D23" s="20" t="s">
        <v>25</v>
      </c>
      <c r="E23" s="21" t="s">
        <v>25</v>
      </c>
      <c r="F23" s="21">
        <v>1</v>
      </c>
      <c r="G23" s="20" t="str">
        <f>"杨红烨"</f>
        <v>杨红烨</v>
      </c>
      <c r="H23" s="20" t="str">
        <f>"202511025609"</f>
        <v>202511025609</v>
      </c>
      <c r="I23" s="22">
        <v>82.0266666666667</v>
      </c>
      <c r="J23" s="23">
        <v>83.42</v>
      </c>
      <c r="K23" s="24">
        <f t="shared" si="4"/>
        <v>82.8626666666667</v>
      </c>
    </row>
    <row r="24" s="2" customFormat="1" ht="22" customHeight="1" spans="1:11">
      <c r="A24" s="18">
        <v>21</v>
      </c>
      <c r="B24" s="19" t="str">
        <f t="shared" si="6"/>
        <v>25007</v>
      </c>
      <c r="C24" s="20" t="s">
        <v>24</v>
      </c>
      <c r="D24" s="20" t="s">
        <v>25</v>
      </c>
      <c r="E24" s="21" t="s">
        <v>25</v>
      </c>
      <c r="F24" s="21">
        <v>1</v>
      </c>
      <c r="G24" s="20" t="str">
        <f>"刘洁"</f>
        <v>刘洁</v>
      </c>
      <c r="H24" s="20" t="str">
        <f>"202511025425"</f>
        <v>202511025425</v>
      </c>
      <c r="I24" s="22">
        <v>82.7733</v>
      </c>
      <c r="J24" s="25" t="s">
        <v>19</v>
      </c>
      <c r="K24" s="24">
        <f>I24*0.4</f>
        <v>33.10932</v>
      </c>
    </row>
    <row r="25" s="2" customFormat="1" ht="22" customHeight="1" spans="1:11">
      <c r="A25" s="18">
        <v>22</v>
      </c>
      <c r="B25" s="19" t="str">
        <f t="shared" ref="B25:B27" si="7">"25008"</f>
        <v>25008</v>
      </c>
      <c r="C25" s="20" t="s">
        <v>26</v>
      </c>
      <c r="D25" s="20" t="s">
        <v>25</v>
      </c>
      <c r="E25" s="21" t="s">
        <v>27</v>
      </c>
      <c r="F25" s="21">
        <v>1</v>
      </c>
      <c r="G25" s="20" t="str">
        <f>"宁聪"</f>
        <v>宁聪</v>
      </c>
      <c r="H25" s="20" t="str">
        <f>"202511026108"</f>
        <v>202511026108</v>
      </c>
      <c r="I25" s="22">
        <v>82.3533</v>
      </c>
      <c r="J25" s="23">
        <v>84.94</v>
      </c>
      <c r="K25" s="24">
        <f t="shared" ref="K25:K29" si="8">I25*0.4+J25*0.6</f>
        <v>83.90532</v>
      </c>
    </row>
    <row r="26" s="2" customFormat="1" ht="22" customHeight="1" spans="1:11">
      <c r="A26" s="18">
        <v>23</v>
      </c>
      <c r="B26" s="19" t="str">
        <f t="shared" si="7"/>
        <v>25008</v>
      </c>
      <c r="C26" s="20" t="s">
        <v>26</v>
      </c>
      <c r="D26" s="20" t="s">
        <v>25</v>
      </c>
      <c r="E26" s="21" t="s">
        <v>27</v>
      </c>
      <c r="F26" s="21">
        <v>1</v>
      </c>
      <c r="G26" s="20" t="str">
        <f>"刘兰金"</f>
        <v>刘兰金</v>
      </c>
      <c r="H26" s="20" t="str">
        <f>"202511026019"</f>
        <v>202511026019</v>
      </c>
      <c r="I26" s="22">
        <v>79.98</v>
      </c>
      <c r="J26" s="23">
        <v>81.56</v>
      </c>
      <c r="K26" s="24">
        <f t="shared" si="8"/>
        <v>80.928</v>
      </c>
    </row>
    <row r="27" s="2" customFormat="1" ht="22" customHeight="1" spans="1:11">
      <c r="A27" s="18">
        <v>24</v>
      </c>
      <c r="B27" s="19" t="str">
        <f t="shared" si="7"/>
        <v>25008</v>
      </c>
      <c r="C27" s="20" t="s">
        <v>26</v>
      </c>
      <c r="D27" s="20" t="s">
        <v>25</v>
      </c>
      <c r="E27" s="21" t="s">
        <v>27</v>
      </c>
      <c r="F27" s="21">
        <v>1</v>
      </c>
      <c r="G27" s="20" t="str">
        <f>"瞿贺祥"</f>
        <v>瞿贺祥</v>
      </c>
      <c r="H27" s="20" t="str">
        <f>"202511026027"</f>
        <v>202511026027</v>
      </c>
      <c r="I27" s="22">
        <v>80.1067</v>
      </c>
      <c r="J27" s="23">
        <v>80.54</v>
      </c>
      <c r="K27" s="24">
        <f t="shared" si="8"/>
        <v>80.36668</v>
      </c>
    </row>
    <row r="28" s="2" customFormat="1" ht="22" customHeight="1" spans="1:11">
      <c r="A28" s="18">
        <v>25</v>
      </c>
      <c r="B28" s="19" t="str">
        <f t="shared" ref="B28:B30" si="9">"25009"</f>
        <v>25009</v>
      </c>
      <c r="C28" s="20" t="s">
        <v>28</v>
      </c>
      <c r="D28" s="20" t="s">
        <v>29</v>
      </c>
      <c r="E28" s="21" t="s">
        <v>30</v>
      </c>
      <c r="F28" s="21">
        <v>1</v>
      </c>
      <c r="G28" s="20" t="str">
        <f>"刘晨宇"</f>
        <v>刘晨宇</v>
      </c>
      <c r="H28" s="20" t="str">
        <f>"202511011822"</f>
        <v>202511011822</v>
      </c>
      <c r="I28" s="22">
        <v>90.8466666666666</v>
      </c>
      <c r="J28" s="23">
        <v>86.8</v>
      </c>
      <c r="K28" s="24">
        <f t="shared" si="8"/>
        <v>88.4186666666666</v>
      </c>
    </row>
    <row r="29" s="2" customFormat="1" ht="22" customHeight="1" spans="1:11">
      <c r="A29" s="18">
        <v>26</v>
      </c>
      <c r="B29" s="19" t="str">
        <f t="shared" si="9"/>
        <v>25009</v>
      </c>
      <c r="C29" s="20" t="s">
        <v>28</v>
      </c>
      <c r="D29" s="20" t="s">
        <v>29</v>
      </c>
      <c r="E29" s="21" t="s">
        <v>30</v>
      </c>
      <c r="F29" s="21">
        <v>1</v>
      </c>
      <c r="G29" s="20" t="str">
        <f>"李伊涵"</f>
        <v>李伊涵</v>
      </c>
      <c r="H29" s="20" t="str">
        <f>"202511011707"</f>
        <v>202511011707</v>
      </c>
      <c r="I29" s="22">
        <v>84.1633</v>
      </c>
      <c r="J29" s="23">
        <v>83.5</v>
      </c>
      <c r="K29" s="24">
        <f t="shared" si="8"/>
        <v>83.76532</v>
      </c>
    </row>
    <row r="30" s="2" customFormat="1" ht="22" customHeight="1" spans="1:11">
      <c r="A30" s="18">
        <v>27</v>
      </c>
      <c r="B30" s="19" t="str">
        <f t="shared" si="9"/>
        <v>25009</v>
      </c>
      <c r="C30" s="20" t="s">
        <v>28</v>
      </c>
      <c r="D30" s="20" t="s">
        <v>29</v>
      </c>
      <c r="E30" s="21" t="s">
        <v>30</v>
      </c>
      <c r="F30" s="21">
        <v>1</v>
      </c>
      <c r="G30" s="20" t="str">
        <f>"王子涵"</f>
        <v>王子涵</v>
      </c>
      <c r="H30" s="20" t="str">
        <f>"202511011930"</f>
        <v>202511011930</v>
      </c>
      <c r="I30" s="22">
        <v>85.1833</v>
      </c>
      <c r="J30" s="25" t="s">
        <v>19</v>
      </c>
      <c r="K30" s="24">
        <f>I30*0.4</f>
        <v>34.07332</v>
      </c>
    </row>
    <row r="31" s="2" customFormat="1" ht="22" customHeight="1" spans="1:11">
      <c r="A31" s="18">
        <v>28</v>
      </c>
      <c r="B31" s="19" t="str">
        <f t="shared" ref="B31:B33" si="10">"25010"</f>
        <v>25010</v>
      </c>
      <c r="C31" s="20" t="s">
        <v>16</v>
      </c>
      <c r="D31" s="20" t="s">
        <v>31</v>
      </c>
      <c r="E31" s="21" t="s">
        <v>32</v>
      </c>
      <c r="F31" s="21">
        <v>1</v>
      </c>
      <c r="G31" s="20" t="str">
        <f>"任欣然"</f>
        <v>任欣然</v>
      </c>
      <c r="H31" s="20" t="str">
        <f>"202511012321"</f>
        <v>202511012321</v>
      </c>
      <c r="I31" s="22">
        <v>84.9733</v>
      </c>
      <c r="J31" s="23">
        <v>85.88</v>
      </c>
      <c r="K31" s="24">
        <f t="shared" ref="K31:K78" si="11">I31*0.4+J31*0.6</f>
        <v>85.51732</v>
      </c>
    </row>
    <row r="32" s="2" customFormat="1" ht="22" customHeight="1" spans="1:11">
      <c r="A32" s="18">
        <v>29</v>
      </c>
      <c r="B32" s="19" t="str">
        <f t="shared" si="10"/>
        <v>25010</v>
      </c>
      <c r="C32" s="20" t="s">
        <v>16</v>
      </c>
      <c r="D32" s="20" t="s">
        <v>31</v>
      </c>
      <c r="E32" s="21" t="s">
        <v>32</v>
      </c>
      <c r="F32" s="21">
        <v>1</v>
      </c>
      <c r="G32" s="20" t="str">
        <f>"聂文静"</f>
        <v>聂文静</v>
      </c>
      <c r="H32" s="20" t="str">
        <f>"202511012306"</f>
        <v>202511012306</v>
      </c>
      <c r="I32" s="22">
        <v>83.5833</v>
      </c>
      <c r="J32" s="23">
        <v>86.44</v>
      </c>
      <c r="K32" s="24">
        <f t="shared" si="11"/>
        <v>85.29732</v>
      </c>
    </row>
    <row r="33" s="2" customFormat="1" ht="22" customHeight="1" spans="1:11">
      <c r="A33" s="18">
        <v>30</v>
      </c>
      <c r="B33" s="19" t="str">
        <f t="shared" si="10"/>
        <v>25010</v>
      </c>
      <c r="C33" s="20" t="s">
        <v>16</v>
      </c>
      <c r="D33" s="20" t="s">
        <v>31</v>
      </c>
      <c r="E33" s="21" t="s">
        <v>32</v>
      </c>
      <c r="F33" s="21">
        <v>1</v>
      </c>
      <c r="G33" s="20" t="str">
        <f>"黄堃"</f>
        <v>黄堃</v>
      </c>
      <c r="H33" s="20" t="str">
        <f>"202511012405"</f>
        <v>202511012405</v>
      </c>
      <c r="I33" s="22">
        <v>82.29</v>
      </c>
      <c r="J33" s="23">
        <v>82.4</v>
      </c>
      <c r="K33" s="24">
        <f t="shared" si="11"/>
        <v>82.356</v>
      </c>
    </row>
    <row r="34" s="2" customFormat="1" ht="22" customHeight="1" spans="1:11">
      <c r="A34" s="18">
        <v>31</v>
      </c>
      <c r="B34" s="19" t="str">
        <f t="shared" ref="B34:B36" si="12">"25019"</f>
        <v>25019</v>
      </c>
      <c r="C34" s="20" t="s">
        <v>33</v>
      </c>
      <c r="D34" s="20" t="s">
        <v>34</v>
      </c>
      <c r="E34" s="21" t="s">
        <v>35</v>
      </c>
      <c r="F34" s="21">
        <v>1</v>
      </c>
      <c r="G34" s="20" t="str">
        <f>"辛旺达"</f>
        <v>辛旺达</v>
      </c>
      <c r="H34" s="20" t="str">
        <f>"202511026301"</f>
        <v>202511026301</v>
      </c>
      <c r="I34" s="22">
        <v>79.36</v>
      </c>
      <c r="J34" s="23">
        <v>85.74</v>
      </c>
      <c r="K34" s="24">
        <f t="shared" si="11"/>
        <v>83.188</v>
      </c>
    </row>
    <row r="35" s="2" customFormat="1" ht="22" customHeight="1" spans="1:11">
      <c r="A35" s="18">
        <v>32</v>
      </c>
      <c r="B35" s="19" t="str">
        <f t="shared" si="12"/>
        <v>25019</v>
      </c>
      <c r="C35" s="20" t="s">
        <v>33</v>
      </c>
      <c r="D35" s="20" t="s">
        <v>34</v>
      </c>
      <c r="E35" s="21" t="s">
        <v>35</v>
      </c>
      <c r="F35" s="21">
        <v>1</v>
      </c>
      <c r="G35" s="20" t="str">
        <f>"胡子明"</f>
        <v>胡子明</v>
      </c>
      <c r="H35" s="20" t="str">
        <f>"202511026321"</f>
        <v>202511026321</v>
      </c>
      <c r="I35" s="22">
        <v>81.0433</v>
      </c>
      <c r="J35" s="23">
        <v>81.66</v>
      </c>
      <c r="K35" s="24">
        <f t="shared" si="11"/>
        <v>81.41332</v>
      </c>
    </row>
    <row r="36" s="2" customFormat="1" ht="22" customHeight="1" spans="1:11">
      <c r="A36" s="18">
        <v>33</v>
      </c>
      <c r="B36" s="19" t="str">
        <f t="shared" si="12"/>
        <v>25019</v>
      </c>
      <c r="C36" s="20" t="s">
        <v>33</v>
      </c>
      <c r="D36" s="20" t="s">
        <v>34</v>
      </c>
      <c r="E36" s="21" t="s">
        <v>35</v>
      </c>
      <c r="F36" s="21">
        <v>1</v>
      </c>
      <c r="G36" s="20" t="str">
        <f>"聂子翔"</f>
        <v>聂子翔</v>
      </c>
      <c r="H36" s="20" t="str">
        <f>"202511026314"</f>
        <v>202511026314</v>
      </c>
      <c r="I36" s="22">
        <v>77.5167</v>
      </c>
      <c r="J36" s="23">
        <v>81.28</v>
      </c>
      <c r="K36" s="24">
        <f t="shared" si="11"/>
        <v>79.77468</v>
      </c>
    </row>
    <row r="37" s="2" customFormat="1" ht="22" customHeight="1" spans="1:11">
      <c r="A37" s="18">
        <v>34</v>
      </c>
      <c r="B37" s="19" t="str">
        <f t="shared" ref="B37:B42" si="13">"25020"</f>
        <v>25020</v>
      </c>
      <c r="C37" s="20" t="s">
        <v>36</v>
      </c>
      <c r="D37" s="20" t="s">
        <v>34</v>
      </c>
      <c r="E37" s="21" t="s">
        <v>35</v>
      </c>
      <c r="F37" s="21">
        <v>2</v>
      </c>
      <c r="G37" s="20" t="str">
        <f>"李彬瑜"</f>
        <v>李彬瑜</v>
      </c>
      <c r="H37" s="20" t="str">
        <f>"202511026603"</f>
        <v>202511026603</v>
      </c>
      <c r="I37" s="22">
        <v>82.7367</v>
      </c>
      <c r="J37" s="23">
        <v>87.42</v>
      </c>
      <c r="K37" s="24">
        <f t="shared" si="11"/>
        <v>85.54668</v>
      </c>
    </row>
    <row r="38" s="2" customFormat="1" ht="22" customHeight="1" spans="1:11">
      <c r="A38" s="18">
        <v>35</v>
      </c>
      <c r="B38" s="19" t="str">
        <f t="shared" si="13"/>
        <v>25020</v>
      </c>
      <c r="C38" s="20" t="s">
        <v>36</v>
      </c>
      <c r="D38" s="20" t="s">
        <v>34</v>
      </c>
      <c r="E38" s="21" t="s">
        <v>35</v>
      </c>
      <c r="F38" s="21">
        <v>2</v>
      </c>
      <c r="G38" s="20" t="str">
        <f>"刘婧怡"</f>
        <v>刘婧怡</v>
      </c>
      <c r="H38" s="20" t="str">
        <f>"202511026708"</f>
        <v>202511026708</v>
      </c>
      <c r="I38" s="22">
        <v>81.71</v>
      </c>
      <c r="J38" s="23">
        <v>85.64</v>
      </c>
      <c r="K38" s="24">
        <f t="shared" si="11"/>
        <v>84.068</v>
      </c>
    </row>
    <row r="39" s="2" customFormat="1" ht="22" customHeight="1" spans="1:11">
      <c r="A39" s="18">
        <v>36</v>
      </c>
      <c r="B39" s="19" t="str">
        <f t="shared" si="13"/>
        <v>25020</v>
      </c>
      <c r="C39" s="20" t="s">
        <v>36</v>
      </c>
      <c r="D39" s="20" t="s">
        <v>34</v>
      </c>
      <c r="E39" s="21" t="s">
        <v>35</v>
      </c>
      <c r="F39" s="21">
        <v>2</v>
      </c>
      <c r="G39" s="20" t="str">
        <f>"王润涛"</f>
        <v>王润涛</v>
      </c>
      <c r="H39" s="20" t="str">
        <f>"202511026506"</f>
        <v>202511026506</v>
      </c>
      <c r="I39" s="22">
        <v>80.6167</v>
      </c>
      <c r="J39" s="23">
        <v>84.12</v>
      </c>
      <c r="K39" s="24">
        <f t="shared" si="11"/>
        <v>82.71868</v>
      </c>
    </row>
    <row r="40" s="2" customFormat="1" ht="22" customHeight="1" spans="1:11">
      <c r="A40" s="18">
        <v>37</v>
      </c>
      <c r="B40" s="19" t="str">
        <f t="shared" si="13"/>
        <v>25020</v>
      </c>
      <c r="C40" s="20" t="s">
        <v>36</v>
      </c>
      <c r="D40" s="20" t="s">
        <v>34</v>
      </c>
      <c r="E40" s="21" t="s">
        <v>35</v>
      </c>
      <c r="F40" s="21">
        <v>2</v>
      </c>
      <c r="G40" s="20" t="str">
        <f>"夏爽"</f>
        <v>夏爽</v>
      </c>
      <c r="H40" s="20" t="str">
        <f>"202511026502"</f>
        <v>202511026502</v>
      </c>
      <c r="I40" s="22">
        <v>81.1633</v>
      </c>
      <c r="J40" s="23">
        <v>77.44</v>
      </c>
      <c r="K40" s="24">
        <f t="shared" si="11"/>
        <v>78.92932</v>
      </c>
    </row>
    <row r="41" s="2" customFormat="1" ht="22" customHeight="1" spans="1:11">
      <c r="A41" s="18">
        <v>38</v>
      </c>
      <c r="B41" s="19" t="str">
        <f t="shared" si="13"/>
        <v>25020</v>
      </c>
      <c r="C41" s="20" t="s">
        <v>36</v>
      </c>
      <c r="D41" s="20" t="s">
        <v>34</v>
      </c>
      <c r="E41" s="21" t="s">
        <v>35</v>
      </c>
      <c r="F41" s="21">
        <v>2</v>
      </c>
      <c r="G41" s="20" t="str">
        <f>"肖明扬"</f>
        <v>肖明扬</v>
      </c>
      <c r="H41" s="20" t="str">
        <f>"202511026615"</f>
        <v>202511026615</v>
      </c>
      <c r="I41" s="22">
        <v>79.7467</v>
      </c>
      <c r="J41" s="23">
        <v>76.7</v>
      </c>
      <c r="K41" s="24">
        <f t="shared" si="11"/>
        <v>77.91868</v>
      </c>
    </row>
    <row r="42" s="2" customFormat="1" ht="22" customHeight="1" spans="1:11">
      <c r="A42" s="18">
        <v>39</v>
      </c>
      <c r="B42" s="19" t="str">
        <f t="shared" si="13"/>
        <v>25020</v>
      </c>
      <c r="C42" s="20" t="s">
        <v>36</v>
      </c>
      <c r="D42" s="20" t="s">
        <v>34</v>
      </c>
      <c r="E42" s="21" t="s">
        <v>35</v>
      </c>
      <c r="F42" s="21">
        <v>2</v>
      </c>
      <c r="G42" s="20" t="str">
        <f>"陈谦"</f>
        <v>陈谦</v>
      </c>
      <c r="H42" s="20" t="str">
        <f>"202511026523"</f>
        <v>202511026523</v>
      </c>
      <c r="I42" s="22">
        <v>79.0666666666667</v>
      </c>
      <c r="J42" s="23">
        <v>77</v>
      </c>
      <c r="K42" s="24">
        <f t="shared" si="11"/>
        <v>77.8266666666667</v>
      </c>
    </row>
    <row r="43" s="2" customFormat="1" ht="22" customHeight="1" spans="1:11">
      <c r="A43" s="18">
        <v>40</v>
      </c>
      <c r="B43" s="19" t="str">
        <f t="shared" ref="B43:B45" si="14">"25021"</f>
        <v>25021</v>
      </c>
      <c r="C43" s="20" t="s">
        <v>37</v>
      </c>
      <c r="D43" s="20" t="s">
        <v>34</v>
      </c>
      <c r="E43" s="21" t="s">
        <v>38</v>
      </c>
      <c r="F43" s="21">
        <v>1</v>
      </c>
      <c r="G43" s="20" t="str">
        <f>"金拯宇"</f>
        <v>金拯宇</v>
      </c>
      <c r="H43" s="20" t="str">
        <f>"202511026719"</f>
        <v>202511026719</v>
      </c>
      <c r="I43" s="22">
        <v>78.4467</v>
      </c>
      <c r="J43" s="23">
        <v>84.72</v>
      </c>
      <c r="K43" s="24">
        <f t="shared" si="11"/>
        <v>82.21068</v>
      </c>
    </row>
    <row r="44" s="2" customFormat="1" ht="22" customHeight="1" spans="1:11">
      <c r="A44" s="18">
        <v>41</v>
      </c>
      <c r="B44" s="19" t="str">
        <f t="shared" si="14"/>
        <v>25021</v>
      </c>
      <c r="C44" s="20" t="s">
        <v>37</v>
      </c>
      <c r="D44" s="20" t="s">
        <v>34</v>
      </c>
      <c r="E44" s="21" t="s">
        <v>38</v>
      </c>
      <c r="F44" s="21">
        <v>1</v>
      </c>
      <c r="G44" s="20" t="str">
        <f>"宋瑞雪"</f>
        <v>宋瑞雪</v>
      </c>
      <c r="H44" s="20" t="str">
        <f>"202511026811"</f>
        <v>202511026811</v>
      </c>
      <c r="I44" s="22">
        <v>79.5233</v>
      </c>
      <c r="J44" s="23">
        <v>83.64</v>
      </c>
      <c r="K44" s="24">
        <f t="shared" si="11"/>
        <v>81.99332</v>
      </c>
    </row>
    <row r="45" s="2" customFormat="1" ht="22" customHeight="1" spans="1:11">
      <c r="A45" s="18">
        <v>42</v>
      </c>
      <c r="B45" s="19" t="str">
        <f t="shared" si="14"/>
        <v>25021</v>
      </c>
      <c r="C45" s="20" t="s">
        <v>37</v>
      </c>
      <c r="D45" s="20" t="s">
        <v>34</v>
      </c>
      <c r="E45" s="21" t="s">
        <v>38</v>
      </c>
      <c r="F45" s="21">
        <v>1</v>
      </c>
      <c r="G45" s="20" t="str">
        <f>"万美雪"</f>
        <v>万美雪</v>
      </c>
      <c r="H45" s="20" t="str">
        <f>"202511026725"</f>
        <v>202511026725</v>
      </c>
      <c r="I45" s="22">
        <v>77.5</v>
      </c>
      <c r="J45" s="23">
        <v>78.6</v>
      </c>
      <c r="K45" s="24">
        <f t="shared" si="11"/>
        <v>78.16</v>
      </c>
    </row>
    <row r="46" s="2" customFormat="1" ht="22" customHeight="1" spans="1:11">
      <c r="A46" s="18">
        <v>43</v>
      </c>
      <c r="B46" s="19" t="str">
        <f t="shared" ref="B46:B48" si="15">"25022"</f>
        <v>25022</v>
      </c>
      <c r="C46" s="20" t="s">
        <v>39</v>
      </c>
      <c r="D46" s="20" t="s">
        <v>34</v>
      </c>
      <c r="E46" s="21" t="s">
        <v>38</v>
      </c>
      <c r="F46" s="21">
        <v>2</v>
      </c>
      <c r="G46" s="20" t="str">
        <f>"汪姝彤"</f>
        <v>汪姝彤</v>
      </c>
      <c r="H46" s="20" t="str">
        <f>"202511026907"</f>
        <v>202511026907</v>
      </c>
      <c r="I46" s="22">
        <v>82.5967</v>
      </c>
      <c r="J46" s="23">
        <v>82.4</v>
      </c>
      <c r="K46" s="24">
        <f t="shared" si="11"/>
        <v>82.47868</v>
      </c>
    </row>
    <row r="47" s="2" customFormat="1" ht="22" customHeight="1" spans="1:11">
      <c r="A47" s="18">
        <v>44</v>
      </c>
      <c r="B47" s="19" t="str">
        <f t="shared" si="15"/>
        <v>25022</v>
      </c>
      <c r="C47" s="20" t="s">
        <v>39</v>
      </c>
      <c r="D47" s="20" t="s">
        <v>34</v>
      </c>
      <c r="E47" s="21" t="s">
        <v>38</v>
      </c>
      <c r="F47" s="21">
        <v>2</v>
      </c>
      <c r="G47" s="20" t="str">
        <f>"邓凯"</f>
        <v>邓凯</v>
      </c>
      <c r="H47" s="20" t="str">
        <f>"202511026827"</f>
        <v>202511026827</v>
      </c>
      <c r="I47" s="22">
        <v>80.5367</v>
      </c>
      <c r="J47" s="23">
        <v>80.6</v>
      </c>
      <c r="K47" s="24">
        <f t="shared" si="11"/>
        <v>80.57468</v>
      </c>
    </row>
    <row r="48" s="2" customFormat="1" ht="22" customHeight="1" spans="1:11">
      <c r="A48" s="18">
        <v>45</v>
      </c>
      <c r="B48" s="19" t="str">
        <f t="shared" si="15"/>
        <v>25022</v>
      </c>
      <c r="C48" s="20" t="s">
        <v>39</v>
      </c>
      <c r="D48" s="20" t="s">
        <v>34</v>
      </c>
      <c r="E48" s="21" t="s">
        <v>38</v>
      </c>
      <c r="F48" s="21">
        <v>2</v>
      </c>
      <c r="G48" s="20" t="str">
        <f>"栾涵宇"</f>
        <v>栾涵宇</v>
      </c>
      <c r="H48" s="20" t="str">
        <f>"202511026824"</f>
        <v>202511026824</v>
      </c>
      <c r="I48" s="22">
        <v>77.1667</v>
      </c>
      <c r="J48" s="23">
        <v>82.8</v>
      </c>
      <c r="K48" s="24">
        <f t="shared" si="11"/>
        <v>80.54668</v>
      </c>
    </row>
    <row r="49" s="2" customFormat="1" ht="22" customHeight="1" spans="1:11">
      <c r="A49" s="18">
        <v>46</v>
      </c>
      <c r="B49" s="26">
        <v>25022</v>
      </c>
      <c r="C49" s="20" t="s">
        <v>39</v>
      </c>
      <c r="D49" s="20" t="s">
        <v>34</v>
      </c>
      <c r="E49" s="21" t="s">
        <v>38</v>
      </c>
      <c r="F49" s="21">
        <v>2</v>
      </c>
      <c r="G49" s="20" t="s">
        <v>40</v>
      </c>
      <c r="H49" s="20" t="s">
        <v>41</v>
      </c>
      <c r="I49" s="22">
        <v>75.9767</v>
      </c>
      <c r="J49" s="23">
        <v>81.32</v>
      </c>
      <c r="K49" s="24">
        <f t="shared" si="11"/>
        <v>79.18268</v>
      </c>
    </row>
    <row r="50" s="2" customFormat="1" ht="22" customHeight="1" spans="1:11">
      <c r="A50" s="18">
        <v>47</v>
      </c>
      <c r="B50" s="26">
        <v>25022</v>
      </c>
      <c r="C50" s="20" t="s">
        <v>39</v>
      </c>
      <c r="D50" s="20" t="s">
        <v>34</v>
      </c>
      <c r="E50" s="21" t="s">
        <v>38</v>
      </c>
      <c r="F50" s="21">
        <v>2</v>
      </c>
      <c r="G50" s="20" t="s">
        <v>42</v>
      </c>
      <c r="H50" s="20" t="s">
        <v>43</v>
      </c>
      <c r="I50" s="22">
        <v>76.78</v>
      </c>
      <c r="J50" s="23">
        <v>79.6</v>
      </c>
      <c r="K50" s="24">
        <f t="shared" si="11"/>
        <v>78.472</v>
      </c>
    </row>
    <row r="51" s="2" customFormat="1" ht="22" customHeight="1" spans="1:11">
      <c r="A51" s="18">
        <v>48</v>
      </c>
      <c r="B51" s="26">
        <v>25022</v>
      </c>
      <c r="C51" s="20" t="s">
        <v>39</v>
      </c>
      <c r="D51" s="20" t="s">
        <v>34</v>
      </c>
      <c r="E51" s="21" t="s">
        <v>38</v>
      </c>
      <c r="F51" s="21">
        <v>2</v>
      </c>
      <c r="G51" s="20" t="s">
        <v>44</v>
      </c>
      <c r="H51" s="20" t="s">
        <v>45</v>
      </c>
      <c r="I51" s="22">
        <v>75.2433</v>
      </c>
      <c r="J51" s="23">
        <v>78.24</v>
      </c>
      <c r="K51" s="24">
        <f t="shared" si="11"/>
        <v>77.04132</v>
      </c>
    </row>
    <row r="52" s="2" customFormat="1" ht="22" customHeight="1" spans="1:11">
      <c r="A52" s="18">
        <v>49</v>
      </c>
      <c r="B52" s="19" t="str">
        <f t="shared" ref="B52:B54" si="16">"25023"</f>
        <v>25023</v>
      </c>
      <c r="C52" s="20" t="s">
        <v>46</v>
      </c>
      <c r="D52" s="20" t="s">
        <v>34</v>
      </c>
      <c r="E52" s="21" t="s">
        <v>38</v>
      </c>
      <c r="F52" s="21">
        <v>1</v>
      </c>
      <c r="G52" s="20" t="str">
        <f>"李楷"</f>
        <v>李楷</v>
      </c>
      <c r="H52" s="20" t="str">
        <f>"202511027030"</f>
        <v>202511027030</v>
      </c>
      <c r="I52" s="22">
        <v>77.7033</v>
      </c>
      <c r="J52" s="23">
        <v>83.6</v>
      </c>
      <c r="K52" s="24">
        <f t="shared" si="11"/>
        <v>81.24132</v>
      </c>
    </row>
    <row r="53" s="2" customFormat="1" ht="22" customHeight="1" spans="1:11">
      <c r="A53" s="18">
        <v>50</v>
      </c>
      <c r="B53" s="19" t="str">
        <f t="shared" si="16"/>
        <v>25023</v>
      </c>
      <c r="C53" s="20" t="s">
        <v>46</v>
      </c>
      <c r="D53" s="20" t="s">
        <v>34</v>
      </c>
      <c r="E53" s="21" t="s">
        <v>38</v>
      </c>
      <c r="F53" s="21">
        <v>1</v>
      </c>
      <c r="G53" s="20" t="str">
        <f>"刘宋汉"</f>
        <v>刘宋汉</v>
      </c>
      <c r="H53" s="20" t="str">
        <f>"202511026921"</f>
        <v>202511026921</v>
      </c>
      <c r="I53" s="22">
        <v>77.14</v>
      </c>
      <c r="J53" s="23">
        <v>83.12</v>
      </c>
      <c r="K53" s="24">
        <f t="shared" si="11"/>
        <v>80.728</v>
      </c>
    </row>
    <row r="54" s="2" customFormat="1" ht="22" customHeight="1" spans="1:11">
      <c r="A54" s="18">
        <v>51</v>
      </c>
      <c r="B54" s="19" t="str">
        <f t="shared" si="16"/>
        <v>25023</v>
      </c>
      <c r="C54" s="20" t="s">
        <v>46</v>
      </c>
      <c r="D54" s="20" t="s">
        <v>34</v>
      </c>
      <c r="E54" s="21" t="s">
        <v>38</v>
      </c>
      <c r="F54" s="21">
        <v>1</v>
      </c>
      <c r="G54" s="20" t="str">
        <f>"冯俊伟"</f>
        <v>冯俊伟</v>
      </c>
      <c r="H54" s="20" t="str">
        <f>"202511027020"</f>
        <v>202511027020</v>
      </c>
      <c r="I54" s="22">
        <v>78.23</v>
      </c>
      <c r="J54" s="23">
        <v>80.9</v>
      </c>
      <c r="K54" s="24">
        <f t="shared" si="11"/>
        <v>79.832</v>
      </c>
    </row>
    <row r="55" s="2" customFormat="1" ht="22" customHeight="1" spans="1:11">
      <c r="A55" s="18">
        <v>52</v>
      </c>
      <c r="B55" s="19" t="str">
        <f t="shared" ref="B55:B57" si="17">"25024"</f>
        <v>25024</v>
      </c>
      <c r="C55" s="20" t="s">
        <v>47</v>
      </c>
      <c r="D55" s="20" t="s">
        <v>34</v>
      </c>
      <c r="E55" s="21" t="s">
        <v>48</v>
      </c>
      <c r="F55" s="21">
        <v>1</v>
      </c>
      <c r="G55" s="20" t="str">
        <f>"李耀天"</f>
        <v>李耀天</v>
      </c>
      <c r="H55" s="20" t="str">
        <f>"202511027126"</f>
        <v>202511027126</v>
      </c>
      <c r="I55" s="22">
        <v>81.01</v>
      </c>
      <c r="J55" s="23">
        <v>82.1</v>
      </c>
      <c r="K55" s="24">
        <f t="shared" si="11"/>
        <v>81.664</v>
      </c>
    </row>
    <row r="56" s="2" customFormat="1" ht="22" customHeight="1" spans="1:11">
      <c r="A56" s="18">
        <v>53</v>
      </c>
      <c r="B56" s="19" t="str">
        <f t="shared" si="17"/>
        <v>25024</v>
      </c>
      <c r="C56" s="20" t="s">
        <v>47</v>
      </c>
      <c r="D56" s="20" t="s">
        <v>34</v>
      </c>
      <c r="E56" s="21" t="s">
        <v>48</v>
      </c>
      <c r="F56" s="21">
        <v>1</v>
      </c>
      <c r="G56" s="20" t="str">
        <f>"童剑锋"</f>
        <v>童剑锋</v>
      </c>
      <c r="H56" s="20" t="str">
        <f>"202511030126"</f>
        <v>202511030126</v>
      </c>
      <c r="I56" s="22">
        <v>80.5167</v>
      </c>
      <c r="J56" s="23">
        <v>81.32</v>
      </c>
      <c r="K56" s="24">
        <f t="shared" si="11"/>
        <v>80.99868</v>
      </c>
    </row>
    <row r="57" s="2" customFormat="1" ht="22" customHeight="1" spans="1:11">
      <c r="A57" s="18">
        <v>54</v>
      </c>
      <c r="B57" s="19" t="str">
        <f t="shared" si="17"/>
        <v>25024</v>
      </c>
      <c r="C57" s="20" t="s">
        <v>47</v>
      </c>
      <c r="D57" s="20" t="s">
        <v>34</v>
      </c>
      <c r="E57" s="21" t="s">
        <v>48</v>
      </c>
      <c r="F57" s="21">
        <v>1</v>
      </c>
      <c r="G57" s="20" t="str">
        <f>"王勇"</f>
        <v>王勇</v>
      </c>
      <c r="H57" s="20" t="str">
        <f>"202511030308"</f>
        <v>202511030308</v>
      </c>
      <c r="I57" s="22">
        <v>80.4667</v>
      </c>
      <c r="J57" s="23">
        <v>79.6</v>
      </c>
      <c r="K57" s="24">
        <f t="shared" si="11"/>
        <v>79.94668</v>
      </c>
    </row>
    <row r="58" s="2" customFormat="1" ht="22" customHeight="1" spans="1:11">
      <c r="A58" s="18">
        <v>55</v>
      </c>
      <c r="B58" s="19" t="str">
        <f t="shared" ref="B58:B63" si="18">"25025"</f>
        <v>25025</v>
      </c>
      <c r="C58" s="20" t="s">
        <v>49</v>
      </c>
      <c r="D58" s="20" t="s">
        <v>34</v>
      </c>
      <c r="E58" s="21" t="s">
        <v>50</v>
      </c>
      <c r="F58" s="21">
        <v>2</v>
      </c>
      <c r="G58" s="20" t="str">
        <f>"张胜"</f>
        <v>张胜</v>
      </c>
      <c r="H58" s="20" t="str">
        <f>"202511030508"</f>
        <v>202511030508</v>
      </c>
      <c r="I58" s="22">
        <v>83.28</v>
      </c>
      <c r="J58" s="23">
        <v>85.1</v>
      </c>
      <c r="K58" s="24">
        <f t="shared" si="11"/>
        <v>84.372</v>
      </c>
    </row>
    <row r="59" s="2" customFormat="1" ht="22" customHeight="1" spans="1:11">
      <c r="A59" s="18">
        <v>56</v>
      </c>
      <c r="B59" s="19" t="str">
        <f t="shared" si="18"/>
        <v>25025</v>
      </c>
      <c r="C59" s="20" t="s">
        <v>49</v>
      </c>
      <c r="D59" s="20" t="s">
        <v>34</v>
      </c>
      <c r="E59" s="21" t="s">
        <v>50</v>
      </c>
      <c r="F59" s="21">
        <v>2</v>
      </c>
      <c r="G59" s="20" t="str">
        <f>"黄燕怡"</f>
        <v>黄燕怡</v>
      </c>
      <c r="H59" s="20" t="str">
        <f>"202511030424"</f>
        <v>202511030424</v>
      </c>
      <c r="I59" s="22">
        <v>81.14</v>
      </c>
      <c r="J59" s="23">
        <v>84.8</v>
      </c>
      <c r="K59" s="24">
        <f t="shared" si="11"/>
        <v>83.336</v>
      </c>
    </row>
    <row r="60" s="2" customFormat="1" ht="22" customHeight="1" spans="1:11">
      <c r="A60" s="18">
        <v>57</v>
      </c>
      <c r="B60" s="19" t="str">
        <f t="shared" si="18"/>
        <v>25025</v>
      </c>
      <c r="C60" s="20" t="s">
        <v>49</v>
      </c>
      <c r="D60" s="20" t="s">
        <v>34</v>
      </c>
      <c r="E60" s="21" t="s">
        <v>50</v>
      </c>
      <c r="F60" s="21">
        <v>2</v>
      </c>
      <c r="G60" s="20" t="str">
        <f>"张港"</f>
        <v>张港</v>
      </c>
      <c r="H60" s="20" t="str">
        <f>"202511030411"</f>
        <v>202511030411</v>
      </c>
      <c r="I60" s="22">
        <v>80.79</v>
      </c>
      <c r="J60" s="23">
        <v>82.5</v>
      </c>
      <c r="K60" s="24">
        <f t="shared" si="11"/>
        <v>81.816</v>
      </c>
    </row>
    <row r="61" s="2" customFormat="1" ht="22" customHeight="1" spans="1:11">
      <c r="A61" s="18">
        <v>58</v>
      </c>
      <c r="B61" s="19" t="str">
        <f t="shared" si="18"/>
        <v>25025</v>
      </c>
      <c r="C61" s="20" t="s">
        <v>49</v>
      </c>
      <c r="D61" s="20" t="s">
        <v>34</v>
      </c>
      <c r="E61" s="21" t="s">
        <v>50</v>
      </c>
      <c r="F61" s="21">
        <v>2</v>
      </c>
      <c r="G61" s="20" t="str">
        <f>"秦勇"</f>
        <v>秦勇</v>
      </c>
      <c r="H61" s="20" t="str">
        <f>"202511030323"</f>
        <v>202511030323</v>
      </c>
      <c r="I61" s="22">
        <v>79.53</v>
      </c>
      <c r="J61" s="23">
        <v>81.82</v>
      </c>
      <c r="K61" s="24">
        <f t="shared" si="11"/>
        <v>80.904</v>
      </c>
    </row>
    <row r="62" s="2" customFormat="1" ht="22" customHeight="1" spans="1:11">
      <c r="A62" s="18">
        <v>59</v>
      </c>
      <c r="B62" s="19" t="str">
        <f t="shared" si="18"/>
        <v>25025</v>
      </c>
      <c r="C62" s="20" t="s">
        <v>49</v>
      </c>
      <c r="D62" s="20" t="s">
        <v>34</v>
      </c>
      <c r="E62" s="21" t="s">
        <v>50</v>
      </c>
      <c r="F62" s="21">
        <v>2</v>
      </c>
      <c r="G62" s="20" t="str">
        <f>"张鼎力"</f>
        <v>张鼎力</v>
      </c>
      <c r="H62" s="20" t="str">
        <f>"202511030324"</f>
        <v>202511030324</v>
      </c>
      <c r="I62" s="22">
        <v>78.23</v>
      </c>
      <c r="J62" s="23">
        <v>81.56</v>
      </c>
      <c r="K62" s="24">
        <f t="shared" si="11"/>
        <v>80.228</v>
      </c>
    </row>
    <row r="63" s="2" customFormat="1" ht="22" customHeight="1" spans="1:11">
      <c r="A63" s="18">
        <v>60</v>
      </c>
      <c r="B63" s="19" t="str">
        <f t="shared" si="18"/>
        <v>25025</v>
      </c>
      <c r="C63" s="20" t="s">
        <v>49</v>
      </c>
      <c r="D63" s="20" t="s">
        <v>34</v>
      </c>
      <c r="E63" s="21" t="s">
        <v>50</v>
      </c>
      <c r="F63" s="21">
        <v>2</v>
      </c>
      <c r="G63" s="20" t="str">
        <f>"张文琪"</f>
        <v>张文琪</v>
      </c>
      <c r="H63" s="20" t="str">
        <f>"202511030501"</f>
        <v>202511030501</v>
      </c>
      <c r="I63" s="22">
        <v>78.3467</v>
      </c>
      <c r="J63" s="23">
        <v>80.36</v>
      </c>
      <c r="K63" s="24">
        <f t="shared" si="11"/>
        <v>79.55468</v>
      </c>
    </row>
    <row r="64" s="2" customFormat="1" ht="22" customHeight="1" spans="1:11">
      <c r="A64" s="18">
        <v>61</v>
      </c>
      <c r="B64" s="19" t="str">
        <f t="shared" ref="B64:B68" si="19">"25027"</f>
        <v>25027</v>
      </c>
      <c r="C64" s="20" t="s">
        <v>51</v>
      </c>
      <c r="D64" s="20" t="s">
        <v>52</v>
      </c>
      <c r="E64" s="21" t="s">
        <v>53</v>
      </c>
      <c r="F64" s="21">
        <v>2</v>
      </c>
      <c r="G64" s="20" t="str">
        <f>"李兴磊"</f>
        <v>李兴磊</v>
      </c>
      <c r="H64" s="20" t="str">
        <f>"202511030515"</f>
        <v>202511030515</v>
      </c>
      <c r="I64" s="22">
        <v>65.1267</v>
      </c>
      <c r="J64" s="23">
        <v>79</v>
      </c>
      <c r="K64" s="24">
        <f t="shared" si="11"/>
        <v>73.45068</v>
      </c>
    </row>
    <row r="65" s="2" customFormat="1" ht="22" customHeight="1" spans="1:11">
      <c r="A65" s="18">
        <v>62</v>
      </c>
      <c r="B65" s="19" t="str">
        <f t="shared" si="19"/>
        <v>25027</v>
      </c>
      <c r="C65" s="20" t="s">
        <v>51</v>
      </c>
      <c r="D65" s="20" t="s">
        <v>52</v>
      </c>
      <c r="E65" s="21" t="s">
        <v>53</v>
      </c>
      <c r="F65" s="21">
        <v>2</v>
      </c>
      <c r="G65" s="20" t="str">
        <f>"李运辉"</f>
        <v>李运辉</v>
      </c>
      <c r="H65" s="20" t="str">
        <f>"202511030512"</f>
        <v>202511030512</v>
      </c>
      <c r="I65" s="22">
        <v>67.1367</v>
      </c>
      <c r="J65" s="23">
        <v>76.6</v>
      </c>
      <c r="K65" s="24">
        <f t="shared" si="11"/>
        <v>72.81468</v>
      </c>
    </row>
    <row r="66" s="2" customFormat="1" ht="22" customHeight="1" spans="1:11">
      <c r="A66" s="18">
        <v>63</v>
      </c>
      <c r="B66" s="19" t="str">
        <f t="shared" si="19"/>
        <v>25027</v>
      </c>
      <c r="C66" s="20" t="s">
        <v>51</v>
      </c>
      <c r="D66" s="20" t="s">
        <v>52</v>
      </c>
      <c r="E66" s="21" t="s">
        <v>53</v>
      </c>
      <c r="F66" s="21">
        <v>2</v>
      </c>
      <c r="G66" s="20" t="str">
        <f>"陈平康"</f>
        <v>陈平康</v>
      </c>
      <c r="H66" s="20" t="str">
        <f>"202511030510"</f>
        <v>202511030510</v>
      </c>
      <c r="I66" s="22">
        <v>60.4467</v>
      </c>
      <c r="J66" s="23">
        <v>80.8</v>
      </c>
      <c r="K66" s="24">
        <f t="shared" si="11"/>
        <v>72.65868</v>
      </c>
    </row>
    <row r="67" s="2" customFormat="1" ht="22" customHeight="1" spans="1:11">
      <c r="A67" s="18">
        <v>64</v>
      </c>
      <c r="B67" s="19" t="str">
        <f t="shared" si="19"/>
        <v>25027</v>
      </c>
      <c r="C67" s="20" t="s">
        <v>51</v>
      </c>
      <c r="D67" s="20" t="s">
        <v>52</v>
      </c>
      <c r="E67" s="21" t="s">
        <v>53</v>
      </c>
      <c r="F67" s="21">
        <v>2</v>
      </c>
      <c r="G67" s="20" t="str">
        <f>"谭健"</f>
        <v>谭健</v>
      </c>
      <c r="H67" s="20" t="str">
        <f>"202511030511"</f>
        <v>202511030511</v>
      </c>
      <c r="I67" s="22">
        <v>55.0667</v>
      </c>
      <c r="J67" s="23">
        <v>72.6</v>
      </c>
      <c r="K67" s="24">
        <f t="shared" si="11"/>
        <v>65.58668</v>
      </c>
    </row>
    <row r="68" s="2" customFormat="1" ht="22" customHeight="1" spans="1:11">
      <c r="A68" s="18">
        <v>65</v>
      </c>
      <c r="B68" s="19" t="str">
        <f t="shared" si="19"/>
        <v>25027</v>
      </c>
      <c r="C68" s="20" t="s">
        <v>51</v>
      </c>
      <c r="D68" s="20" t="s">
        <v>52</v>
      </c>
      <c r="E68" s="21" t="s">
        <v>53</v>
      </c>
      <c r="F68" s="21">
        <v>2</v>
      </c>
      <c r="G68" s="20" t="str">
        <f>"徐冬涛"</f>
        <v>徐冬涛</v>
      </c>
      <c r="H68" s="20" t="str">
        <f>"202511030513"</f>
        <v>202511030513</v>
      </c>
      <c r="I68" s="22">
        <v>56.12</v>
      </c>
      <c r="J68" s="23">
        <v>67.6</v>
      </c>
      <c r="K68" s="24">
        <f t="shared" si="11"/>
        <v>63.008</v>
      </c>
    </row>
    <row r="69" s="2" customFormat="1" ht="22" customHeight="1" spans="1:11">
      <c r="A69" s="18">
        <v>66</v>
      </c>
      <c r="B69" s="19" t="str">
        <f t="shared" ref="B69:B71" si="20">"25028"</f>
        <v>25028</v>
      </c>
      <c r="C69" s="20" t="s">
        <v>54</v>
      </c>
      <c r="D69" s="20" t="s">
        <v>52</v>
      </c>
      <c r="E69" s="21" t="s">
        <v>55</v>
      </c>
      <c r="F69" s="21">
        <v>1</v>
      </c>
      <c r="G69" s="20" t="str">
        <f>"陆鑫"</f>
        <v>陆鑫</v>
      </c>
      <c r="H69" s="20" t="str">
        <f>"202511030516"</f>
        <v>202511030516</v>
      </c>
      <c r="I69" s="22">
        <v>78.1767</v>
      </c>
      <c r="J69" s="23">
        <v>80.3</v>
      </c>
      <c r="K69" s="24">
        <f t="shared" si="11"/>
        <v>79.45068</v>
      </c>
    </row>
    <row r="70" s="2" customFormat="1" ht="22" customHeight="1" spans="1:11">
      <c r="A70" s="18">
        <v>67</v>
      </c>
      <c r="B70" s="19" t="str">
        <f t="shared" si="20"/>
        <v>25028</v>
      </c>
      <c r="C70" s="20" t="s">
        <v>54</v>
      </c>
      <c r="D70" s="20" t="s">
        <v>52</v>
      </c>
      <c r="E70" s="21" t="s">
        <v>55</v>
      </c>
      <c r="F70" s="21">
        <v>1</v>
      </c>
      <c r="G70" s="20" t="str">
        <f>"崔亮"</f>
        <v>崔亮</v>
      </c>
      <c r="H70" s="20" t="str">
        <f>"202511030518"</f>
        <v>202511030518</v>
      </c>
      <c r="I70" s="22">
        <v>80.4867</v>
      </c>
      <c r="J70" s="23">
        <v>77</v>
      </c>
      <c r="K70" s="24">
        <f t="shared" si="11"/>
        <v>78.39468</v>
      </c>
    </row>
    <row r="71" s="2" customFormat="1" ht="22" customHeight="1" spans="1:11">
      <c r="A71" s="18">
        <v>68</v>
      </c>
      <c r="B71" s="19" t="str">
        <f t="shared" si="20"/>
        <v>25028</v>
      </c>
      <c r="C71" s="20" t="s">
        <v>54</v>
      </c>
      <c r="D71" s="20" t="s">
        <v>52</v>
      </c>
      <c r="E71" s="21" t="s">
        <v>55</v>
      </c>
      <c r="F71" s="21">
        <v>1</v>
      </c>
      <c r="G71" s="20" t="str">
        <f>"孙喆"</f>
        <v>孙喆</v>
      </c>
      <c r="H71" s="20" t="str">
        <f>"202511030524"</f>
        <v>202511030524</v>
      </c>
      <c r="I71" s="22">
        <v>76.1633</v>
      </c>
      <c r="J71" s="23">
        <v>76.5</v>
      </c>
      <c r="K71" s="24">
        <f t="shared" si="11"/>
        <v>76.36532</v>
      </c>
    </row>
    <row r="72" s="2" customFormat="1" ht="22" customHeight="1" spans="1:11">
      <c r="A72" s="18">
        <v>69</v>
      </c>
      <c r="B72" s="19" t="str">
        <f t="shared" ref="B72:B74" si="21">"25029"</f>
        <v>25029</v>
      </c>
      <c r="C72" s="20" t="s">
        <v>56</v>
      </c>
      <c r="D72" s="20" t="s">
        <v>52</v>
      </c>
      <c r="E72" s="21" t="s">
        <v>55</v>
      </c>
      <c r="F72" s="21">
        <v>1</v>
      </c>
      <c r="G72" s="20" t="str">
        <f>"张一鸣"</f>
        <v>张一鸣</v>
      </c>
      <c r="H72" s="20" t="str">
        <f>"202511025716"</f>
        <v>202511025716</v>
      </c>
      <c r="I72" s="22">
        <v>78.9833</v>
      </c>
      <c r="J72" s="23">
        <v>83.6</v>
      </c>
      <c r="K72" s="24">
        <f t="shared" si="11"/>
        <v>81.75332</v>
      </c>
    </row>
    <row r="73" s="2" customFormat="1" ht="22" customHeight="1" spans="1:11">
      <c r="A73" s="18">
        <v>70</v>
      </c>
      <c r="B73" s="19" t="str">
        <f t="shared" si="21"/>
        <v>25029</v>
      </c>
      <c r="C73" s="20" t="s">
        <v>56</v>
      </c>
      <c r="D73" s="20" t="s">
        <v>52</v>
      </c>
      <c r="E73" s="21" t="s">
        <v>55</v>
      </c>
      <c r="F73" s="21">
        <v>1</v>
      </c>
      <c r="G73" s="20" t="str">
        <f>"张延"</f>
        <v>张延</v>
      </c>
      <c r="H73" s="20" t="str">
        <f>"202511025721"</f>
        <v>202511025721</v>
      </c>
      <c r="I73" s="22">
        <v>80.5567</v>
      </c>
      <c r="J73" s="23">
        <v>81.2</v>
      </c>
      <c r="K73" s="24">
        <f t="shared" si="11"/>
        <v>80.94268</v>
      </c>
    </row>
    <row r="74" s="2" customFormat="1" ht="22" customHeight="1" spans="1:11">
      <c r="A74" s="18">
        <v>71</v>
      </c>
      <c r="B74" s="19" t="str">
        <f t="shared" si="21"/>
        <v>25029</v>
      </c>
      <c r="C74" s="20" t="s">
        <v>56</v>
      </c>
      <c r="D74" s="20" t="s">
        <v>52</v>
      </c>
      <c r="E74" s="21" t="s">
        <v>55</v>
      </c>
      <c r="F74" s="21">
        <v>1</v>
      </c>
      <c r="G74" s="20" t="str">
        <f>"李思琪"</f>
        <v>李思琪</v>
      </c>
      <c r="H74" s="20" t="str">
        <f>"202511025720"</f>
        <v>202511025720</v>
      </c>
      <c r="I74" s="22">
        <v>80.2467</v>
      </c>
      <c r="J74" s="23">
        <v>79.2</v>
      </c>
      <c r="K74" s="24">
        <f t="shared" si="11"/>
        <v>79.61868</v>
      </c>
    </row>
    <row r="75" s="2" customFormat="1" ht="22" customHeight="1" spans="1:11">
      <c r="A75" s="18">
        <v>72</v>
      </c>
      <c r="B75" s="19" t="str">
        <f t="shared" ref="B75:B80" si="22">"25030"</f>
        <v>25030</v>
      </c>
      <c r="C75" s="20" t="s">
        <v>57</v>
      </c>
      <c r="D75" s="20" t="s">
        <v>58</v>
      </c>
      <c r="E75" s="21" t="s">
        <v>59</v>
      </c>
      <c r="F75" s="21">
        <v>2</v>
      </c>
      <c r="G75" s="20" t="str">
        <f>"黄子炎"</f>
        <v>黄子炎</v>
      </c>
      <c r="H75" s="20" t="str">
        <f>"202511030602"</f>
        <v>202511030602</v>
      </c>
      <c r="I75" s="22">
        <v>78.5933</v>
      </c>
      <c r="J75" s="23">
        <v>82.3</v>
      </c>
      <c r="K75" s="24">
        <f t="shared" si="11"/>
        <v>80.81732</v>
      </c>
    </row>
    <row r="76" s="2" customFormat="1" ht="22" customHeight="1" spans="1:11">
      <c r="A76" s="18">
        <v>73</v>
      </c>
      <c r="B76" s="19" t="str">
        <f t="shared" si="22"/>
        <v>25030</v>
      </c>
      <c r="C76" s="20" t="s">
        <v>57</v>
      </c>
      <c r="D76" s="20" t="s">
        <v>58</v>
      </c>
      <c r="E76" s="21" t="s">
        <v>59</v>
      </c>
      <c r="F76" s="21">
        <v>2</v>
      </c>
      <c r="G76" s="20" t="str">
        <f>"黄延浩"</f>
        <v>黄延浩</v>
      </c>
      <c r="H76" s="20" t="str">
        <f>"202511030529"</f>
        <v>202511030529</v>
      </c>
      <c r="I76" s="22">
        <v>77.22</v>
      </c>
      <c r="J76" s="23">
        <v>79.62</v>
      </c>
      <c r="K76" s="24">
        <f t="shared" si="11"/>
        <v>78.66</v>
      </c>
    </row>
    <row r="77" s="2" customFormat="1" ht="22" customHeight="1" spans="1:11">
      <c r="A77" s="18">
        <v>74</v>
      </c>
      <c r="B77" s="19" t="str">
        <f t="shared" si="22"/>
        <v>25030</v>
      </c>
      <c r="C77" s="20" t="s">
        <v>57</v>
      </c>
      <c r="D77" s="20" t="s">
        <v>58</v>
      </c>
      <c r="E77" s="21" t="s">
        <v>59</v>
      </c>
      <c r="F77" s="21">
        <v>2</v>
      </c>
      <c r="G77" s="20" t="str">
        <f>"刘倩如"</f>
        <v>刘倩如</v>
      </c>
      <c r="H77" s="20" t="str">
        <f>"202511030604"</f>
        <v>202511030604</v>
      </c>
      <c r="I77" s="22">
        <v>75.6966666666667</v>
      </c>
      <c r="J77" s="23">
        <v>79.88</v>
      </c>
      <c r="K77" s="24">
        <f t="shared" si="11"/>
        <v>78.2066666666667</v>
      </c>
    </row>
    <row r="78" s="2" customFormat="1" ht="22" customHeight="1" spans="1:11">
      <c r="A78" s="18">
        <v>75</v>
      </c>
      <c r="B78" s="19" t="str">
        <f t="shared" si="22"/>
        <v>25030</v>
      </c>
      <c r="C78" s="20" t="s">
        <v>57</v>
      </c>
      <c r="D78" s="20" t="s">
        <v>58</v>
      </c>
      <c r="E78" s="21" t="s">
        <v>59</v>
      </c>
      <c r="F78" s="21">
        <v>2</v>
      </c>
      <c r="G78" s="20" t="str">
        <f>"刘阳"</f>
        <v>刘阳</v>
      </c>
      <c r="H78" s="20" t="str">
        <f>"202511030527"</f>
        <v>202511030527</v>
      </c>
      <c r="I78" s="22">
        <v>69.6233333333333</v>
      </c>
      <c r="J78" s="23">
        <v>74.1</v>
      </c>
      <c r="K78" s="24">
        <f t="shared" si="11"/>
        <v>72.3093333333333</v>
      </c>
    </row>
    <row r="79" s="2" customFormat="1" ht="22" customHeight="1" spans="1:11">
      <c r="A79" s="18">
        <v>76</v>
      </c>
      <c r="B79" s="19" t="str">
        <f t="shared" si="22"/>
        <v>25030</v>
      </c>
      <c r="C79" s="20" t="s">
        <v>57</v>
      </c>
      <c r="D79" s="20" t="s">
        <v>58</v>
      </c>
      <c r="E79" s="21" t="s">
        <v>59</v>
      </c>
      <c r="F79" s="21">
        <v>2</v>
      </c>
      <c r="G79" s="20" t="str">
        <f>"吴若浩"</f>
        <v>吴若浩</v>
      </c>
      <c r="H79" s="20" t="str">
        <f>"202511030608"</f>
        <v>202511030608</v>
      </c>
      <c r="I79" s="22">
        <v>80.9966666666667</v>
      </c>
      <c r="J79" s="25" t="s">
        <v>19</v>
      </c>
      <c r="K79" s="24">
        <f>I79*0.4</f>
        <v>32.3986666666667</v>
      </c>
    </row>
    <row r="80" s="2" customFormat="1" ht="22" customHeight="1" spans="1:11">
      <c r="A80" s="18">
        <v>77</v>
      </c>
      <c r="B80" s="19" t="str">
        <f t="shared" si="22"/>
        <v>25030</v>
      </c>
      <c r="C80" s="20" t="s">
        <v>57</v>
      </c>
      <c r="D80" s="20" t="s">
        <v>58</v>
      </c>
      <c r="E80" s="21" t="s">
        <v>59</v>
      </c>
      <c r="F80" s="21">
        <v>2</v>
      </c>
      <c r="G80" s="20" t="str">
        <f>"吴超"</f>
        <v>吴超</v>
      </c>
      <c r="H80" s="20" t="str">
        <f>"202511030605"</f>
        <v>202511030605</v>
      </c>
      <c r="I80" s="22">
        <v>77.1</v>
      </c>
      <c r="J80" s="25" t="s">
        <v>19</v>
      </c>
      <c r="K80" s="24">
        <f>I80*0.4</f>
        <v>30.84</v>
      </c>
    </row>
    <row r="81" s="2" customFormat="1" ht="22" customHeight="1" spans="1:11">
      <c r="A81" s="18">
        <v>78</v>
      </c>
      <c r="B81" s="19" t="str">
        <f t="shared" ref="B81:B83" si="23">"25053"</f>
        <v>25053</v>
      </c>
      <c r="C81" s="20" t="s">
        <v>60</v>
      </c>
      <c r="D81" s="20" t="s">
        <v>61</v>
      </c>
      <c r="E81" s="21" t="s">
        <v>62</v>
      </c>
      <c r="F81" s="21">
        <v>1</v>
      </c>
      <c r="G81" s="20" t="str">
        <f>"包燕雪儿"</f>
        <v>包燕雪儿</v>
      </c>
      <c r="H81" s="20" t="str">
        <f>"202511020227"</f>
        <v>202511020227</v>
      </c>
      <c r="I81" s="22">
        <v>83.7167</v>
      </c>
      <c r="J81" s="23">
        <v>84.9</v>
      </c>
      <c r="K81" s="24">
        <f t="shared" ref="K81:K92" si="24">I81*0.4+J81*0.6</f>
        <v>84.42668</v>
      </c>
    </row>
    <row r="82" s="2" customFormat="1" ht="22" customHeight="1" spans="1:11">
      <c r="A82" s="18">
        <v>79</v>
      </c>
      <c r="B82" s="19" t="str">
        <f t="shared" si="23"/>
        <v>25053</v>
      </c>
      <c r="C82" s="20" t="s">
        <v>60</v>
      </c>
      <c r="D82" s="20" t="s">
        <v>61</v>
      </c>
      <c r="E82" s="21" t="s">
        <v>62</v>
      </c>
      <c r="F82" s="21">
        <v>1</v>
      </c>
      <c r="G82" s="20" t="str">
        <f>"张曾嘉"</f>
        <v>张曾嘉</v>
      </c>
      <c r="H82" s="20" t="str">
        <f>"202511020113"</f>
        <v>202511020113</v>
      </c>
      <c r="I82" s="22">
        <v>82.6533</v>
      </c>
      <c r="J82" s="23">
        <v>85.3</v>
      </c>
      <c r="K82" s="24">
        <f t="shared" si="24"/>
        <v>84.24132</v>
      </c>
    </row>
    <row r="83" s="2" customFormat="1" ht="22" customHeight="1" spans="1:11">
      <c r="A83" s="18">
        <v>80</v>
      </c>
      <c r="B83" s="19" t="str">
        <f t="shared" si="23"/>
        <v>25053</v>
      </c>
      <c r="C83" s="20" t="s">
        <v>60</v>
      </c>
      <c r="D83" s="20" t="s">
        <v>61</v>
      </c>
      <c r="E83" s="21" t="s">
        <v>62</v>
      </c>
      <c r="F83" s="21">
        <v>1</v>
      </c>
      <c r="G83" s="20" t="str">
        <f>"郭帆"</f>
        <v>郭帆</v>
      </c>
      <c r="H83" s="20" t="str">
        <f>"202511012406"</f>
        <v>202511012406</v>
      </c>
      <c r="I83" s="22">
        <v>85.3866666666667</v>
      </c>
      <c r="J83" s="23">
        <v>79.1</v>
      </c>
      <c r="K83" s="24">
        <f t="shared" si="24"/>
        <v>81.6146666666667</v>
      </c>
    </row>
    <row r="84" s="2" customFormat="1" ht="22" customHeight="1" spans="1:11">
      <c r="A84" s="18">
        <v>81</v>
      </c>
      <c r="B84" s="19" t="str">
        <f t="shared" ref="B84:B86" si="25">"25054"</f>
        <v>25054</v>
      </c>
      <c r="C84" s="20" t="s">
        <v>63</v>
      </c>
      <c r="D84" s="20" t="s">
        <v>64</v>
      </c>
      <c r="E84" s="21" t="s">
        <v>65</v>
      </c>
      <c r="F84" s="21">
        <v>1</v>
      </c>
      <c r="G84" s="20" t="str">
        <f>"张质彬"</f>
        <v>张质彬</v>
      </c>
      <c r="H84" s="20" t="str">
        <f>"202511020317"</f>
        <v>202511020317</v>
      </c>
      <c r="I84" s="22">
        <v>78.26</v>
      </c>
      <c r="J84" s="23">
        <v>79.42</v>
      </c>
      <c r="K84" s="24">
        <f t="shared" si="24"/>
        <v>78.956</v>
      </c>
    </row>
    <row r="85" s="2" customFormat="1" ht="22" customHeight="1" spans="1:11">
      <c r="A85" s="18">
        <v>82</v>
      </c>
      <c r="B85" s="19" t="str">
        <f t="shared" si="25"/>
        <v>25054</v>
      </c>
      <c r="C85" s="20" t="s">
        <v>63</v>
      </c>
      <c r="D85" s="20" t="s">
        <v>64</v>
      </c>
      <c r="E85" s="21" t="s">
        <v>65</v>
      </c>
      <c r="F85" s="21">
        <v>1</v>
      </c>
      <c r="G85" s="20" t="str">
        <f>"万和梅"</f>
        <v>万和梅</v>
      </c>
      <c r="H85" s="20" t="str">
        <f>"202511020320"</f>
        <v>202511020320</v>
      </c>
      <c r="I85" s="22">
        <v>78.3267</v>
      </c>
      <c r="J85" s="23">
        <v>76.96</v>
      </c>
      <c r="K85" s="24">
        <f t="shared" si="24"/>
        <v>77.50668</v>
      </c>
    </row>
    <row r="86" s="2" customFormat="1" ht="22" customHeight="1" spans="1:11">
      <c r="A86" s="18">
        <v>83</v>
      </c>
      <c r="B86" s="19" t="str">
        <f t="shared" si="25"/>
        <v>25054</v>
      </c>
      <c r="C86" s="20" t="s">
        <v>63</v>
      </c>
      <c r="D86" s="20" t="s">
        <v>64</v>
      </c>
      <c r="E86" s="21" t="s">
        <v>65</v>
      </c>
      <c r="F86" s="21">
        <v>1</v>
      </c>
      <c r="G86" s="20" t="str">
        <f>"朱晋煜"</f>
        <v>朱晋煜</v>
      </c>
      <c r="H86" s="20" t="str">
        <f>"202511020318"</f>
        <v>202511020318</v>
      </c>
      <c r="I86" s="22">
        <v>75.1533</v>
      </c>
      <c r="J86" s="23">
        <v>77.3</v>
      </c>
      <c r="K86" s="24">
        <f t="shared" si="24"/>
        <v>76.44132</v>
      </c>
    </row>
    <row r="87" s="2" customFormat="1" ht="22" customHeight="1" spans="1:11">
      <c r="A87" s="18">
        <v>84</v>
      </c>
      <c r="B87" s="19" t="str">
        <f t="shared" ref="B87:B92" si="26">"25055"</f>
        <v>25055</v>
      </c>
      <c r="C87" s="20" t="s">
        <v>66</v>
      </c>
      <c r="D87" s="20" t="s">
        <v>64</v>
      </c>
      <c r="E87" s="21" t="s">
        <v>65</v>
      </c>
      <c r="F87" s="21">
        <v>2</v>
      </c>
      <c r="G87" s="20" t="str">
        <f>"倪东红"</f>
        <v>倪东红</v>
      </c>
      <c r="H87" s="20" t="str">
        <f>"202511020618"</f>
        <v>202511020618</v>
      </c>
      <c r="I87" s="22">
        <v>83.58</v>
      </c>
      <c r="J87" s="23">
        <v>83.66</v>
      </c>
      <c r="K87" s="24">
        <f t="shared" si="24"/>
        <v>83.628</v>
      </c>
    </row>
    <row r="88" s="2" customFormat="1" ht="22" customHeight="1" spans="1:11">
      <c r="A88" s="18">
        <v>85</v>
      </c>
      <c r="B88" s="19" t="str">
        <f t="shared" si="26"/>
        <v>25055</v>
      </c>
      <c r="C88" s="20" t="s">
        <v>66</v>
      </c>
      <c r="D88" s="20" t="s">
        <v>64</v>
      </c>
      <c r="E88" s="21" t="s">
        <v>65</v>
      </c>
      <c r="F88" s="21">
        <v>2</v>
      </c>
      <c r="G88" s="20" t="str">
        <f>"胡婷婷"</f>
        <v>胡婷婷</v>
      </c>
      <c r="H88" s="20" t="str">
        <f>"202511020614"</f>
        <v>202511020614</v>
      </c>
      <c r="I88" s="22">
        <v>83.28</v>
      </c>
      <c r="J88" s="23">
        <v>79.86</v>
      </c>
      <c r="K88" s="24">
        <f t="shared" si="24"/>
        <v>81.228</v>
      </c>
    </row>
    <row r="89" s="2" customFormat="1" ht="22" customHeight="1" spans="1:11">
      <c r="A89" s="18">
        <v>86</v>
      </c>
      <c r="B89" s="19" t="str">
        <f t="shared" si="26"/>
        <v>25055</v>
      </c>
      <c r="C89" s="20" t="s">
        <v>66</v>
      </c>
      <c r="D89" s="20" t="s">
        <v>64</v>
      </c>
      <c r="E89" s="21" t="s">
        <v>65</v>
      </c>
      <c r="F89" s="21">
        <v>2</v>
      </c>
      <c r="G89" s="20" t="str">
        <f>"何彦洁"</f>
        <v>何彦洁</v>
      </c>
      <c r="H89" s="20" t="str">
        <f>"202511020716"</f>
        <v>202511020716</v>
      </c>
      <c r="I89" s="22">
        <v>82.49</v>
      </c>
      <c r="J89" s="23">
        <v>77.5</v>
      </c>
      <c r="K89" s="24">
        <f t="shared" si="24"/>
        <v>79.496</v>
      </c>
    </row>
    <row r="90" s="2" customFormat="1" ht="22" customHeight="1" spans="1:11">
      <c r="A90" s="18">
        <v>87</v>
      </c>
      <c r="B90" s="19" t="str">
        <f t="shared" si="26"/>
        <v>25055</v>
      </c>
      <c r="C90" s="20" t="s">
        <v>66</v>
      </c>
      <c r="D90" s="20" t="s">
        <v>64</v>
      </c>
      <c r="E90" s="21" t="s">
        <v>65</v>
      </c>
      <c r="F90" s="21">
        <v>2</v>
      </c>
      <c r="G90" s="20" t="str">
        <f>"冯志文"</f>
        <v>冯志文</v>
      </c>
      <c r="H90" s="20" t="str">
        <f>"202511020415"</f>
        <v>202511020415</v>
      </c>
      <c r="I90" s="22">
        <v>82.8333</v>
      </c>
      <c r="J90" s="23">
        <v>72.6</v>
      </c>
      <c r="K90" s="24">
        <f t="shared" si="24"/>
        <v>76.69332</v>
      </c>
    </row>
    <row r="91" s="2" customFormat="1" ht="22" customHeight="1" spans="1:11">
      <c r="A91" s="18">
        <v>88</v>
      </c>
      <c r="B91" s="19" t="str">
        <f t="shared" si="26"/>
        <v>25055</v>
      </c>
      <c r="C91" s="20" t="s">
        <v>66</v>
      </c>
      <c r="D91" s="20" t="s">
        <v>64</v>
      </c>
      <c r="E91" s="21" t="s">
        <v>65</v>
      </c>
      <c r="F91" s="21">
        <v>2</v>
      </c>
      <c r="G91" s="20" t="str">
        <f>"李晓伟"</f>
        <v>李晓伟</v>
      </c>
      <c r="H91" s="20" t="str">
        <f>"202511020810"</f>
        <v>202511020810</v>
      </c>
      <c r="I91" s="22">
        <v>82.43</v>
      </c>
      <c r="J91" s="23">
        <v>68.4</v>
      </c>
      <c r="K91" s="24">
        <f t="shared" si="24"/>
        <v>74.012</v>
      </c>
    </row>
    <row r="92" s="2" customFormat="1" ht="22" customHeight="1" spans="1:11">
      <c r="A92" s="18">
        <v>89</v>
      </c>
      <c r="B92" s="19" t="str">
        <f t="shared" si="26"/>
        <v>25055</v>
      </c>
      <c r="C92" s="20" t="s">
        <v>66</v>
      </c>
      <c r="D92" s="20" t="s">
        <v>64</v>
      </c>
      <c r="E92" s="21" t="s">
        <v>65</v>
      </c>
      <c r="F92" s="21">
        <v>2</v>
      </c>
      <c r="G92" s="20" t="str">
        <f>"刘可"</f>
        <v>刘可</v>
      </c>
      <c r="H92" s="20" t="str">
        <f>"202511020717"</f>
        <v>202511020717</v>
      </c>
      <c r="I92" s="22">
        <v>83.23</v>
      </c>
      <c r="J92" s="23">
        <v>64</v>
      </c>
      <c r="K92" s="24">
        <f t="shared" si="24"/>
        <v>71.692</v>
      </c>
    </row>
    <row r="93" s="2" customFormat="1" ht="22" customHeight="1" spans="1:11">
      <c r="E93" s="3"/>
      <c r="F93" s="3"/>
      <c r="I93" s="27"/>
      <c r="J93" s="5"/>
    </row>
    <row r="94" s="1" customFormat="1" ht="32" customHeight="1" spans="1:11">
      <c r="A94" s="10" t="s">
        <v>67</v>
      </c>
      <c r="B94" s="10"/>
      <c r="C94" s="10"/>
      <c r="D94" s="10"/>
      <c r="E94" s="10"/>
      <c r="F94" s="10"/>
      <c r="G94" s="10"/>
      <c r="H94" s="28"/>
      <c r="I94" s="28"/>
      <c r="J94" s="29"/>
    </row>
    <row r="95" s="1" customFormat="1" ht="32" customHeight="1" spans="1:11">
      <c r="A95" s="30" t="s">
        <v>68</v>
      </c>
      <c r="B95" s="30"/>
      <c r="C95" s="30"/>
      <c r="D95" s="30"/>
      <c r="E95" s="30"/>
      <c r="F95" s="30"/>
      <c r="G95" s="30"/>
      <c r="H95" s="28"/>
      <c r="I95" s="28"/>
      <c r="J95" s="29"/>
    </row>
    <row r="96" s="1" customFormat="1" ht="31" customHeight="1" spans="1:11">
      <c r="A96" s="12" t="s">
        <v>2</v>
      </c>
      <c r="B96" s="13" t="s">
        <v>3</v>
      </c>
      <c r="C96" s="14" t="s">
        <v>4</v>
      </c>
      <c r="D96" s="14" t="s">
        <v>5</v>
      </c>
      <c r="E96" s="15" t="s">
        <v>6</v>
      </c>
      <c r="F96" s="15" t="s">
        <v>7</v>
      </c>
      <c r="G96" s="14" t="s">
        <v>8</v>
      </c>
      <c r="H96" s="31" t="s">
        <v>69</v>
      </c>
      <c r="I96" s="32"/>
      <c r="J96" s="2"/>
    </row>
    <row r="97" s="2" customFormat="1" ht="22" customHeight="1" spans="1:9">
      <c r="A97" s="18">
        <v>1</v>
      </c>
      <c r="B97" s="19">
        <v>25005</v>
      </c>
      <c r="C97" s="33" t="s">
        <v>70</v>
      </c>
      <c r="D97" s="33" t="s">
        <v>25</v>
      </c>
      <c r="E97" s="33" t="s">
        <v>25</v>
      </c>
      <c r="F97" s="21">
        <v>1</v>
      </c>
      <c r="G97" s="20" t="s">
        <v>71</v>
      </c>
      <c r="H97" s="34">
        <v>84.6</v>
      </c>
      <c r="I97" s="34"/>
    </row>
    <row r="98" s="2" customFormat="1" ht="22" customHeight="1" spans="1:9">
      <c r="A98" s="18">
        <v>2</v>
      </c>
      <c r="B98" s="19">
        <v>25005</v>
      </c>
      <c r="C98" s="33" t="s">
        <v>70</v>
      </c>
      <c r="D98" s="33" t="s">
        <v>25</v>
      </c>
      <c r="E98" s="33" t="s">
        <v>25</v>
      </c>
      <c r="F98" s="21">
        <v>1</v>
      </c>
      <c r="G98" s="20" t="s">
        <v>72</v>
      </c>
      <c r="H98" s="34">
        <v>82.24</v>
      </c>
      <c r="I98" s="34"/>
    </row>
    <row r="99" s="2" customFormat="1" ht="22" customHeight="1" spans="1:9">
      <c r="A99" s="18">
        <v>3</v>
      </c>
      <c r="B99" s="19">
        <v>25005</v>
      </c>
      <c r="C99" s="33" t="s">
        <v>70</v>
      </c>
      <c r="D99" s="33" t="s">
        <v>25</v>
      </c>
      <c r="E99" s="33" t="s">
        <v>25</v>
      </c>
      <c r="F99" s="21">
        <v>1</v>
      </c>
      <c r="G99" s="20" t="s">
        <v>73</v>
      </c>
      <c r="H99" s="34">
        <v>17.8</v>
      </c>
      <c r="I99" s="34"/>
    </row>
    <row r="100" s="2" customFormat="1" ht="22" customHeight="1" spans="1:9">
      <c r="A100" s="18">
        <v>4</v>
      </c>
      <c r="B100" s="19">
        <v>25005</v>
      </c>
      <c r="C100" s="33" t="s">
        <v>70</v>
      </c>
      <c r="D100" s="33" t="s">
        <v>25</v>
      </c>
      <c r="E100" s="33" t="s">
        <v>25</v>
      </c>
      <c r="F100" s="21">
        <v>1</v>
      </c>
      <c r="G100" s="20" t="s">
        <v>74</v>
      </c>
      <c r="H100" s="34" t="s">
        <v>19</v>
      </c>
      <c r="I100" s="34"/>
    </row>
    <row r="101" s="2" customFormat="1" ht="22" customHeight="1" spans="1:9">
      <c r="A101" s="18">
        <v>5</v>
      </c>
      <c r="B101" s="19">
        <v>25005</v>
      </c>
      <c r="C101" s="33" t="s">
        <v>70</v>
      </c>
      <c r="D101" s="33" t="s">
        <v>25</v>
      </c>
      <c r="E101" s="33" t="s">
        <v>25</v>
      </c>
      <c r="F101" s="21">
        <v>1</v>
      </c>
      <c r="G101" s="20" t="s">
        <v>75</v>
      </c>
      <c r="H101" s="34" t="s">
        <v>19</v>
      </c>
      <c r="I101" s="34"/>
    </row>
    <row r="102" s="2" customFormat="1" ht="22" customHeight="1" spans="1:9">
      <c r="A102" s="18">
        <v>6</v>
      </c>
      <c r="B102" s="19">
        <v>25011</v>
      </c>
      <c r="C102" s="33" t="s">
        <v>76</v>
      </c>
      <c r="D102" s="33" t="s">
        <v>77</v>
      </c>
      <c r="E102" s="33" t="s">
        <v>78</v>
      </c>
      <c r="F102" s="21">
        <v>1</v>
      </c>
      <c r="G102" s="20" t="s">
        <v>79</v>
      </c>
      <c r="H102" s="34">
        <v>84.44</v>
      </c>
      <c r="I102" s="34"/>
    </row>
    <row r="103" s="2" customFormat="1" ht="22" customHeight="1" spans="1:9">
      <c r="A103" s="18">
        <v>7</v>
      </c>
      <c r="B103" s="19">
        <v>25011</v>
      </c>
      <c r="C103" s="33" t="s">
        <v>76</v>
      </c>
      <c r="D103" s="33" t="s">
        <v>77</v>
      </c>
      <c r="E103" s="33" t="s">
        <v>78</v>
      </c>
      <c r="F103" s="21">
        <v>1</v>
      </c>
      <c r="G103" s="20" t="s">
        <v>80</v>
      </c>
      <c r="H103" s="34">
        <v>82.98</v>
      </c>
      <c r="I103" s="34"/>
    </row>
    <row r="104" s="2" customFormat="1" ht="22" customHeight="1" spans="1:9">
      <c r="A104" s="18">
        <v>8</v>
      </c>
      <c r="B104" s="19">
        <v>25012</v>
      </c>
      <c r="C104" s="33" t="s">
        <v>81</v>
      </c>
      <c r="D104" s="33" t="s">
        <v>77</v>
      </c>
      <c r="E104" s="33" t="s">
        <v>78</v>
      </c>
      <c r="F104" s="21">
        <v>1</v>
      </c>
      <c r="G104" s="20" t="s">
        <v>82</v>
      </c>
      <c r="H104" s="34">
        <v>79.14</v>
      </c>
      <c r="I104" s="34"/>
    </row>
    <row r="105" s="2" customFormat="1" ht="22" customHeight="1" spans="1:9">
      <c r="A105" s="18">
        <v>9</v>
      </c>
      <c r="B105" s="19">
        <v>25012</v>
      </c>
      <c r="C105" s="33" t="s">
        <v>81</v>
      </c>
      <c r="D105" s="33" t="s">
        <v>77</v>
      </c>
      <c r="E105" s="33" t="s">
        <v>78</v>
      </c>
      <c r="F105" s="21">
        <v>1</v>
      </c>
      <c r="G105" s="20" t="s">
        <v>83</v>
      </c>
      <c r="H105" s="34" t="s">
        <v>19</v>
      </c>
      <c r="I105" s="34"/>
    </row>
    <row r="106" s="2" customFormat="1" ht="22" customHeight="1" spans="1:9">
      <c r="A106" s="18">
        <v>10</v>
      </c>
      <c r="B106" s="19">
        <v>25012</v>
      </c>
      <c r="C106" s="33" t="s">
        <v>81</v>
      </c>
      <c r="D106" s="33" t="s">
        <v>77</v>
      </c>
      <c r="E106" s="33" t="s">
        <v>78</v>
      </c>
      <c r="F106" s="21">
        <v>1</v>
      </c>
      <c r="G106" s="20" t="s">
        <v>84</v>
      </c>
      <c r="H106" s="34" t="s">
        <v>19</v>
      </c>
      <c r="I106" s="34"/>
    </row>
    <row r="107" s="2" customFormat="1" ht="22" customHeight="1" spans="1:9">
      <c r="A107" s="18">
        <v>11</v>
      </c>
      <c r="B107" s="19">
        <v>25013</v>
      </c>
      <c r="C107" s="33" t="s">
        <v>85</v>
      </c>
      <c r="D107" s="33" t="s">
        <v>77</v>
      </c>
      <c r="E107" s="33" t="s">
        <v>78</v>
      </c>
      <c r="F107" s="21">
        <v>1</v>
      </c>
      <c r="G107" s="20" t="s">
        <v>86</v>
      </c>
      <c r="H107" s="34">
        <v>84.1</v>
      </c>
      <c r="I107" s="34"/>
    </row>
    <row r="108" s="2" customFormat="1" ht="22" customHeight="1" spans="1:9">
      <c r="A108" s="18">
        <v>12</v>
      </c>
      <c r="B108" s="19">
        <v>25014</v>
      </c>
      <c r="C108" s="33" t="s">
        <v>87</v>
      </c>
      <c r="D108" s="33" t="s">
        <v>77</v>
      </c>
      <c r="E108" s="33" t="s">
        <v>78</v>
      </c>
      <c r="F108" s="21">
        <v>1</v>
      </c>
      <c r="G108" s="20" t="s">
        <v>88</v>
      </c>
      <c r="H108" s="34">
        <v>85.62</v>
      </c>
      <c r="I108" s="34"/>
    </row>
    <row r="109" s="2" customFormat="1" ht="22" customHeight="1" spans="1:9">
      <c r="A109" s="18">
        <v>13</v>
      </c>
      <c r="B109" s="19">
        <v>25014</v>
      </c>
      <c r="C109" s="33" t="s">
        <v>87</v>
      </c>
      <c r="D109" s="33" t="s">
        <v>77</v>
      </c>
      <c r="E109" s="33" t="s">
        <v>78</v>
      </c>
      <c r="F109" s="21">
        <v>1</v>
      </c>
      <c r="G109" s="20" t="s">
        <v>89</v>
      </c>
      <c r="H109" s="34">
        <v>84.2</v>
      </c>
      <c r="I109" s="34"/>
    </row>
    <row r="110" s="2" customFormat="1" ht="22" customHeight="1" spans="1:9">
      <c r="A110" s="18">
        <v>14</v>
      </c>
      <c r="B110" s="19">
        <v>25014</v>
      </c>
      <c r="C110" s="33" t="s">
        <v>87</v>
      </c>
      <c r="D110" s="33" t="s">
        <v>77</v>
      </c>
      <c r="E110" s="33" t="s">
        <v>78</v>
      </c>
      <c r="F110" s="21">
        <v>1</v>
      </c>
      <c r="G110" s="20" t="s">
        <v>90</v>
      </c>
      <c r="H110" s="34">
        <v>80.2</v>
      </c>
      <c r="I110" s="34"/>
    </row>
    <row r="111" s="2" customFormat="1" ht="22" customHeight="1" spans="1:9">
      <c r="A111" s="18">
        <v>15</v>
      </c>
      <c r="B111" s="19">
        <v>25014</v>
      </c>
      <c r="C111" s="33" t="s">
        <v>87</v>
      </c>
      <c r="D111" s="33" t="s">
        <v>77</v>
      </c>
      <c r="E111" s="33" t="s">
        <v>78</v>
      </c>
      <c r="F111" s="21">
        <v>1</v>
      </c>
      <c r="G111" s="20" t="s">
        <v>91</v>
      </c>
      <c r="H111" s="34" t="s">
        <v>19</v>
      </c>
      <c r="I111" s="34"/>
    </row>
    <row r="112" s="2" customFormat="1" ht="22" customHeight="1" spans="1:9">
      <c r="A112" s="18">
        <v>16</v>
      </c>
      <c r="B112" s="19">
        <v>25015</v>
      </c>
      <c r="C112" s="33" t="s">
        <v>92</v>
      </c>
      <c r="D112" s="33" t="s">
        <v>77</v>
      </c>
      <c r="E112" s="33" t="s">
        <v>78</v>
      </c>
      <c r="F112" s="21">
        <v>1</v>
      </c>
      <c r="G112" s="20" t="s">
        <v>93</v>
      </c>
      <c r="H112" s="34">
        <v>81.74</v>
      </c>
      <c r="I112" s="34"/>
    </row>
    <row r="113" s="2" customFormat="1" ht="22" customHeight="1" spans="1:9">
      <c r="A113" s="18">
        <v>17</v>
      </c>
      <c r="B113" s="19">
        <v>25016</v>
      </c>
      <c r="C113" s="33" t="s">
        <v>94</v>
      </c>
      <c r="D113" s="33" t="s">
        <v>77</v>
      </c>
      <c r="E113" s="33" t="s">
        <v>78</v>
      </c>
      <c r="F113" s="21">
        <v>1</v>
      </c>
      <c r="G113" s="20" t="s">
        <v>95</v>
      </c>
      <c r="H113" s="34" t="s">
        <v>19</v>
      </c>
      <c r="I113" s="34"/>
    </row>
    <row r="114" s="2" customFormat="1" ht="22" customHeight="1" spans="1:9">
      <c r="A114" s="18">
        <v>18</v>
      </c>
      <c r="B114" s="19">
        <v>25018</v>
      </c>
      <c r="C114" s="33" t="s">
        <v>96</v>
      </c>
      <c r="D114" s="33" t="s">
        <v>77</v>
      </c>
      <c r="E114" s="33" t="s">
        <v>78</v>
      </c>
      <c r="F114" s="21">
        <v>1</v>
      </c>
      <c r="G114" s="20" t="s">
        <v>97</v>
      </c>
      <c r="H114" s="34">
        <v>84.24</v>
      </c>
      <c r="I114" s="34"/>
    </row>
    <row r="115" s="2" customFormat="1" ht="22" customHeight="1" spans="1:9">
      <c r="A115" s="18">
        <v>19</v>
      </c>
      <c r="B115" s="19">
        <v>25018</v>
      </c>
      <c r="C115" s="33" t="s">
        <v>96</v>
      </c>
      <c r="D115" s="33" t="s">
        <v>77</v>
      </c>
      <c r="E115" s="33" t="s">
        <v>78</v>
      </c>
      <c r="F115" s="21">
        <v>1</v>
      </c>
      <c r="G115" s="20" t="s">
        <v>98</v>
      </c>
      <c r="H115" s="34">
        <v>84.08</v>
      </c>
      <c r="I115" s="34"/>
    </row>
    <row r="116" s="2" customFormat="1" ht="22" customHeight="1" spans="1:9">
      <c r="A116" s="18">
        <v>20</v>
      </c>
      <c r="B116" s="19">
        <v>25018</v>
      </c>
      <c r="C116" s="33" t="s">
        <v>96</v>
      </c>
      <c r="D116" s="33" t="s">
        <v>77</v>
      </c>
      <c r="E116" s="33" t="s">
        <v>78</v>
      </c>
      <c r="F116" s="21">
        <v>1</v>
      </c>
      <c r="G116" s="20" t="s">
        <v>99</v>
      </c>
      <c r="H116" s="34">
        <v>82.8</v>
      </c>
      <c r="I116" s="34"/>
    </row>
    <row r="117" s="2" customFormat="1" ht="22" customHeight="1" spans="1:9">
      <c r="A117" s="18">
        <v>21</v>
      </c>
      <c r="B117" s="19">
        <v>25018</v>
      </c>
      <c r="C117" s="33" t="s">
        <v>96</v>
      </c>
      <c r="D117" s="33" t="s">
        <v>77</v>
      </c>
      <c r="E117" s="33" t="s">
        <v>78</v>
      </c>
      <c r="F117" s="21">
        <v>1</v>
      </c>
      <c r="G117" s="20" t="s">
        <v>100</v>
      </c>
      <c r="H117" s="34">
        <v>82.38</v>
      </c>
      <c r="I117" s="34"/>
    </row>
    <row r="118" s="2" customFormat="1" ht="22" customHeight="1" spans="1:9">
      <c r="A118" s="18">
        <v>22</v>
      </c>
      <c r="B118" s="19">
        <v>25018</v>
      </c>
      <c r="C118" s="33" t="s">
        <v>96</v>
      </c>
      <c r="D118" s="33" t="s">
        <v>77</v>
      </c>
      <c r="E118" s="33" t="s">
        <v>78</v>
      </c>
      <c r="F118" s="21">
        <v>1</v>
      </c>
      <c r="G118" s="20" t="s">
        <v>101</v>
      </c>
      <c r="H118" s="34">
        <v>78.6</v>
      </c>
      <c r="I118" s="34"/>
    </row>
    <row r="119" s="2" customFormat="1" ht="22" customHeight="1" spans="1:9">
      <c r="A119" s="18">
        <v>23</v>
      </c>
      <c r="B119" s="19">
        <v>25018</v>
      </c>
      <c r="C119" s="33" t="s">
        <v>96</v>
      </c>
      <c r="D119" s="33" t="s">
        <v>77</v>
      </c>
      <c r="E119" s="33" t="s">
        <v>78</v>
      </c>
      <c r="F119" s="21">
        <v>1</v>
      </c>
      <c r="G119" s="20" t="s">
        <v>102</v>
      </c>
      <c r="H119" s="34">
        <v>78.6</v>
      </c>
      <c r="I119" s="34"/>
    </row>
    <row r="120" s="2" customFormat="1" ht="22" customHeight="1" spans="1:9">
      <c r="A120" s="18">
        <v>24</v>
      </c>
      <c r="B120" s="19">
        <v>25018</v>
      </c>
      <c r="C120" s="33" t="s">
        <v>96</v>
      </c>
      <c r="D120" s="33" t="s">
        <v>77</v>
      </c>
      <c r="E120" s="33" t="s">
        <v>78</v>
      </c>
      <c r="F120" s="21">
        <v>1</v>
      </c>
      <c r="G120" s="20" t="s">
        <v>103</v>
      </c>
      <c r="H120" s="34">
        <v>78.24</v>
      </c>
      <c r="I120" s="34"/>
    </row>
    <row r="121" s="2" customFormat="1" ht="22" customHeight="1" spans="1:9">
      <c r="A121" s="18">
        <v>25</v>
      </c>
      <c r="B121" s="19">
        <v>25018</v>
      </c>
      <c r="C121" s="33" t="s">
        <v>96</v>
      </c>
      <c r="D121" s="33" t="s">
        <v>77</v>
      </c>
      <c r="E121" s="33" t="s">
        <v>78</v>
      </c>
      <c r="F121" s="21">
        <v>1</v>
      </c>
      <c r="G121" s="20" t="s">
        <v>104</v>
      </c>
      <c r="H121" s="34">
        <v>77.7</v>
      </c>
      <c r="I121" s="34"/>
    </row>
    <row r="122" s="2" customFormat="1" ht="22" customHeight="1" spans="1:9">
      <c r="A122" s="18">
        <v>26</v>
      </c>
      <c r="B122" s="19">
        <v>25018</v>
      </c>
      <c r="C122" s="33" t="s">
        <v>96</v>
      </c>
      <c r="D122" s="33" t="s">
        <v>77</v>
      </c>
      <c r="E122" s="33" t="s">
        <v>78</v>
      </c>
      <c r="F122" s="21">
        <v>1</v>
      </c>
      <c r="G122" s="20" t="s">
        <v>105</v>
      </c>
      <c r="H122" s="34" t="s">
        <v>19</v>
      </c>
      <c r="I122" s="34"/>
    </row>
    <row r="123" s="2" customFormat="1" ht="22" customHeight="1" spans="1:9">
      <c r="A123" s="18">
        <v>27</v>
      </c>
      <c r="B123" s="19">
        <v>25018</v>
      </c>
      <c r="C123" s="33" t="s">
        <v>96</v>
      </c>
      <c r="D123" s="33" t="s">
        <v>77</v>
      </c>
      <c r="E123" s="33" t="s">
        <v>78</v>
      </c>
      <c r="F123" s="21">
        <v>1</v>
      </c>
      <c r="G123" s="20" t="s">
        <v>106</v>
      </c>
      <c r="H123" s="34" t="s">
        <v>19</v>
      </c>
      <c r="I123" s="34"/>
    </row>
    <row r="124" s="2" customFormat="1" ht="22" customHeight="1" spans="1:9">
      <c r="A124" s="18">
        <v>28</v>
      </c>
      <c r="B124" s="19">
        <v>25018</v>
      </c>
      <c r="C124" s="33" t="s">
        <v>96</v>
      </c>
      <c r="D124" s="33" t="s">
        <v>77</v>
      </c>
      <c r="E124" s="33" t="s">
        <v>78</v>
      </c>
      <c r="F124" s="21">
        <v>1</v>
      </c>
      <c r="G124" s="20" t="s">
        <v>107</v>
      </c>
      <c r="H124" s="34" t="s">
        <v>19</v>
      </c>
      <c r="I124" s="34"/>
    </row>
    <row r="125" s="2" customFormat="1" ht="22" customHeight="1" spans="1:9">
      <c r="A125" s="18">
        <v>29</v>
      </c>
      <c r="B125" s="19">
        <v>25026</v>
      </c>
      <c r="C125" s="33" t="s">
        <v>108</v>
      </c>
      <c r="D125" s="33" t="s">
        <v>52</v>
      </c>
      <c r="E125" s="33" t="s">
        <v>53</v>
      </c>
      <c r="F125" s="21">
        <v>2</v>
      </c>
      <c r="G125" s="20" t="s">
        <v>109</v>
      </c>
      <c r="H125" s="34">
        <v>85.7</v>
      </c>
      <c r="I125" s="34"/>
    </row>
    <row r="126" s="2" customFormat="1" ht="22" customHeight="1" spans="1:9">
      <c r="A126" s="18">
        <v>30</v>
      </c>
      <c r="B126" s="19">
        <v>25026</v>
      </c>
      <c r="C126" s="33" t="s">
        <v>108</v>
      </c>
      <c r="D126" s="33" t="s">
        <v>52</v>
      </c>
      <c r="E126" s="33" t="s">
        <v>53</v>
      </c>
      <c r="F126" s="21">
        <v>2</v>
      </c>
      <c r="G126" s="20" t="s">
        <v>110</v>
      </c>
      <c r="H126" s="34">
        <v>85.6</v>
      </c>
      <c r="I126" s="34"/>
    </row>
    <row r="127" s="2" customFormat="1" ht="22" customHeight="1" spans="1:9">
      <c r="A127" s="18">
        <v>31</v>
      </c>
      <c r="B127" s="19">
        <v>25026</v>
      </c>
      <c r="C127" s="33" t="s">
        <v>108</v>
      </c>
      <c r="D127" s="33" t="s">
        <v>52</v>
      </c>
      <c r="E127" s="33" t="s">
        <v>53</v>
      </c>
      <c r="F127" s="21">
        <v>2</v>
      </c>
      <c r="G127" s="20" t="s">
        <v>111</v>
      </c>
      <c r="H127" s="34">
        <v>85.4</v>
      </c>
      <c r="I127" s="34"/>
    </row>
    <row r="128" s="2" customFormat="1" ht="22" customHeight="1" spans="1:9">
      <c r="A128" s="18">
        <v>32</v>
      </c>
      <c r="B128" s="19">
        <v>25026</v>
      </c>
      <c r="C128" s="33" t="s">
        <v>108</v>
      </c>
      <c r="D128" s="33" t="s">
        <v>52</v>
      </c>
      <c r="E128" s="33" t="s">
        <v>53</v>
      </c>
      <c r="F128" s="21">
        <v>2</v>
      </c>
      <c r="G128" s="20" t="s">
        <v>112</v>
      </c>
      <c r="H128" s="34">
        <v>84.5</v>
      </c>
      <c r="I128" s="34"/>
    </row>
    <row r="129" s="2" customFormat="1" ht="22" customHeight="1" spans="1:9">
      <c r="A129" s="18">
        <v>33</v>
      </c>
      <c r="B129" s="19">
        <v>25026</v>
      </c>
      <c r="C129" s="33" t="s">
        <v>108</v>
      </c>
      <c r="D129" s="33" t="s">
        <v>52</v>
      </c>
      <c r="E129" s="33" t="s">
        <v>53</v>
      </c>
      <c r="F129" s="21">
        <v>2</v>
      </c>
      <c r="G129" s="20" t="s">
        <v>113</v>
      </c>
      <c r="H129" s="34">
        <v>81.9</v>
      </c>
      <c r="I129" s="34"/>
    </row>
    <row r="130" s="2" customFormat="1" ht="22" customHeight="1" spans="1:9">
      <c r="A130" s="18">
        <v>34</v>
      </c>
      <c r="B130" s="19">
        <v>25026</v>
      </c>
      <c r="C130" s="33" t="s">
        <v>108</v>
      </c>
      <c r="D130" s="33" t="s">
        <v>52</v>
      </c>
      <c r="E130" s="33" t="s">
        <v>53</v>
      </c>
      <c r="F130" s="21">
        <v>2</v>
      </c>
      <c r="G130" s="20" t="s">
        <v>114</v>
      </c>
      <c r="H130" s="34">
        <v>80.6</v>
      </c>
      <c r="I130" s="34"/>
    </row>
    <row r="131" s="2" customFormat="1" ht="22" customHeight="1" spans="1:9">
      <c r="A131" s="18">
        <v>35</v>
      </c>
      <c r="B131" s="19">
        <v>25026</v>
      </c>
      <c r="C131" s="33" t="s">
        <v>108</v>
      </c>
      <c r="D131" s="33" t="s">
        <v>52</v>
      </c>
      <c r="E131" s="33" t="s">
        <v>53</v>
      </c>
      <c r="F131" s="21">
        <v>2</v>
      </c>
      <c r="G131" s="20" t="s">
        <v>115</v>
      </c>
      <c r="H131" s="34">
        <v>80.1</v>
      </c>
      <c r="I131" s="34"/>
    </row>
    <row r="132" s="2" customFormat="1" ht="22" customHeight="1" spans="1:9">
      <c r="A132" s="18">
        <v>36</v>
      </c>
      <c r="B132" s="19">
        <v>25026</v>
      </c>
      <c r="C132" s="33" t="s">
        <v>108</v>
      </c>
      <c r="D132" s="33" t="s">
        <v>52</v>
      </c>
      <c r="E132" s="33" t="s">
        <v>53</v>
      </c>
      <c r="F132" s="21">
        <v>2</v>
      </c>
      <c r="G132" s="20" t="s">
        <v>116</v>
      </c>
      <c r="H132" s="34">
        <v>76.6</v>
      </c>
      <c r="I132" s="34"/>
    </row>
    <row r="133" s="2" customFormat="1" ht="22" customHeight="1" spans="1:9">
      <c r="A133" s="18">
        <v>37</v>
      </c>
      <c r="B133" s="19">
        <v>25026</v>
      </c>
      <c r="C133" s="33" t="s">
        <v>108</v>
      </c>
      <c r="D133" s="33" t="s">
        <v>52</v>
      </c>
      <c r="E133" s="33" t="s">
        <v>53</v>
      </c>
      <c r="F133" s="21">
        <v>2</v>
      </c>
      <c r="G133" s="20" t="s">
        <v>117</v>
      </c>
      <c r="H133" s="34" t="s">
        <v>19</v>
      </c>
      <c r="I133" s="34"/>
    </row>
    <row r="134" s="2" customFormat="1" ht="22" customHeight="1" spans="1:9">
      <c r="A134" s="18">
        <v>38</v>
      </c>
      <c r="B134" s="19">
        <v>25026</v>
      </c>
      <c r="C134" s="33" t="s">
        <v>108</v>
      </c>
      <c r="D134" s="33" t="s">
        <v>52</v>
      </c>
      <c r="E134" s="33" t="s">
        <v>53</v>
      </c>
      <c r="F134" s="21">
        <v>2</v>
      </c>
      <c r="G134" s="20" t="s">
        <v>118</v>
      </c>
      <c r="H134" s="34" t="s">
        <v>19</v>
      </c>
      <c r="I134" s="34"/>
    </row>
    <row r="135" s="2" customFormat="1" ht="22" customHeight="1" spans="1:9">
      <c r="A135" s="18">
        <v>39</v>
      </c>
      <c r="B135" s="19">
        <v>25026</v>
      </c>
      <c r="C135" s="33" t="s">
        <v>108</v>
      </c>
      <c r="D135" s="33" t="s">
        <v>52</v>
      </c>
      <c r="E135" s="33" t="s">
        <v>53</v>
      </c>
      <c r="F135" s="21">
        <v>2</v>
      </c>
      <c r="G135" s="20" t="s">
        <v>119</v>
      </c>
      <c r="H135" s="34" t="s">
        <v>19</v>
      </c>
      <c r="I135" s="34"/>
    </row>
    <row r="136" s="2" customFormat="1" ht="22" customHeight="1" spans="1:9">
      <c r="A136" s="18">
        <v>40</v>
      </c>
      <c r="B136" s="19">
        <v>25058</v>
      </c>
      <c r="C136" s="33" t="s">
        <v>13</v>
      </c>
      <c r="D136" s="33" t="s">
        <v>120</v>
      </c>
      <c r="E136" s="33" t="s">
        <v>120</v>
      </c>
      <c r="F136" s="21">
        <v>1</v>
      </c>
      <c r="G136" s="20" t="s">
        <v>121</v>
      </c>
      <c r="H136" s="34">
        <v>86.8</v>
      </c>
      <c r="I136" s="34"/>
    </row>
    <row r="137" s="2" customFormat="1" ht="22" customHeight="1" spans="1:9">
      <c r="A137" s="18">
        <v>41</v>
      </c>
      <c r="B137" s="19">
        <v>25058</v>
      </c>
      <c r="C137" s="33" t="s">
        <v>13</v>
      </c>
      <c r="D137" s="33" t="s">
        <v>120</v>
      </c>
      <c r="E137" s="33" t="s">
        <v>120</v>
      </c>
      <c r="F137" s="21">
        <v>1</v>
      </c>
      <c r="G137" s="20" t="s">
        <v>122</v>
      </c>
      <c r="H137" s="34">
        <v>84.4</v>
      </c>
      <c r="I137" s="34"/>
    </row>
    <row r="138" s="2" customFormat="1" ht="22" customHeight="1" spans="1:9">
      <c r="A138" s="18">
        <v>42</v>
      </c>
      <c r="B138" s="19">
        <v>25058</v>
      </c>
      <c r="C138" s="33" t="s">
        <v>13</v>
      </c>
      <c r="D138" s="33" t="s">
        <v>120</v>
      </c>
      <c r="E138" s="33" t="s">
        <v>120</v>
      </c>
      <c r="F138" s="21">
        <v>1</v>
      </c>
      <c r="G138" s="20" t="s">
        <v>123</v>
      </c>
      <c r="H138" s="34">
        <v>83.8</v>
      </c>
      <c r="I138" s="34"/>
    </row>
    <row r="139" s="2" customFormat="1" ht="22" customHeight="1" spans="1:9">
      <c r="A139" s="18">
        <v>43</v>
      </c>
      <c r="B139" s="19">
        <v>25058</v>
      </c>
      <c r="C139" s="33" t="s">
        <v>13</v>
      </c>
      <c r="D139" s="33" t="s">
        <v>120</v>
      </c>
      <c r="E139" s="33" t="s">
        <v>120</v>
      </c>
      <c r="F139" s="21">
        <v>1</v>
      </c>
      <c r="G139" s="20" t="s">
        <v>124</v>
      </c>
      <c r="H139" s="34">
        <v>83.2</v>
      </c>
      <c r="I139" s="34"/>
    </row>
    <row r="140" s="2" customFormat="1" ht="22" customHeight="1" spans="1:9">
      <c r="A140" s="18">
        <v>44</v>
      </c>
      <c r="B140" s="19">
        <v>25058</v>
      </c>
      <c r="C140" s="33" t="s">
        <v>13</v>
      </c>
      <c r="D140" s="33" t="s">
        <v>120</v>
      </c>
      <c r="E140" s="33" t="s">
        <v>120</v>
      </c>
      <c r="F140" s="21">
        <v>1</v>
      </c>
      <c r="G140" s="20" t="s">
        <v>125</v>
      </c>
      <c r="H140" s="34">
        <v>82.47</v>
      </c>
      <c r="I140" s="34"/>
    </row>
    <row r="141" s="2" customFormat="1" ht="22" customHeight="1" spans="1:9">
      <c r="A141" s="18">
        <v>45</v>
      </c>
      <c r="B141" s="19">
        <v>25058</v>
      </c>
      <c r="C141" s="33" t="s">
        <v>13</v>
      </c>
      <c r="D141" s="33" t="s">
        <v>120</v>
      </c>
      <c r="E141" s="33" t="s">
        <v>120</v>
      </c>
      <c r="F141" s="21">
        <v>1</v>
      </c>
      <c r="G141" s="20" t="s">
        <v>126</v>
      </c>
      <c r="H141" s="34">
        <v>81.4</v>
      </c>
      <c r="I141" s="34"/>
    </row>
    <row r="142" s="2" customFormat="1" ht="22" customHeight="1" spans="1:9">
      <c r="A142" s="18">
        <v>46</v>
      </c>
      <c r="B142" s="19">
        <v>25058</v>
      </c>
      <c r="C142" s="33" t="s">
        <v>13</v>
      </c>
      <c r="D142" s="33" t="s">
        <v>120</v>
      </c>
      <c r="E142" s="33" t="s">
        <v>120</v>
      </c>
      <c r="F142" s="21">
        <v>1</v>
      </c>
      <c r="G142" s="20" t="s">
        <v>127</v>
      </c>
      <c r="H142" s="34">
        <v>80.8</v>
      </c>
      <c r="I142" s="34"/>
    </row>
    <row r="143" s="2" customFormat="1" ht="22" customHeight="1" spans="1:9">
      <c r="A143" s="18">
        <v>47</v>
      </c>
      <c r="B143" s="19">
        <v>25058</v>
      </c>
      <c r="C143" s="33" t="s">
        <v>13</v>
      </c>
      <c r="D143" s="33" t="s">
        <v>120</v>
      </c>
      <c r="E143" s="33" t="s">
        <v>120</v>
      </c>
      <c r="F143" s="21">
        <v>1</v>
      </c>
      <c r="G143" s="20" t="s">
        <v>128</v>
      </c>
      <c r="H143" s="34">
        <v>80.8</v>
      </c>
      <c r="I143" s="34"/>
    </row>
    <row r="144" s="2" customFormat="1" ht="22" customHeight="1" spans="1:9">
      <c r="A144" s="18">
        <v>48</v>
      </c>
      <c r="B144" s="19">
        <v>25058</v>
      </c>
      <c r="C144" s="33" t="s">
        <v>13</v>
      </c>
      <c r="D144" s="33" t="s">
        <v>120</v>
      </c>
      <c r="E144" s="33" t="s">
        <v>120</v>
      </c>
      <c r="F144" s="21">
        <v>1</v>
      </c>
      <c r="G144" s="20" t="s">
        <v>129</v>
      </c>
      <c r="H144" s="34">
        <v>80.2</v>
      </c>
      <c r="I144" s="34"/>
    </row>
    <row r="145" s="2" customFormat="1" ht="22" customHeight="1" spans="1:10">
      <c r="A145" s="18">
        <v>49</v>
      </c>
      <c r="B145" s="19">
        <v>25058</v>
      </c>
      <c r="C145" s="33" t="s">
        <v>13</v>
      </c>
      <c r="D145" s="33" t="s">
        <v>120</v>
      </c>
      <c r="E145" s="33" t="s">
        <v>120</v>
      </c>
      <c r="F145" s="21">
        <v>1</v>
      </c>
      <c r="G145" s="20" t="s">
        <v>130</v>
      </c>
      <c r="H145" s="34">
        <v>80.2</v>
      </c>
      <c r="I145" s="34"/>
    </row>
    <row r="146" s="2" customFormat="1" ht="22" customHeight="1" spans="1:10">
      <c r="A146" s="18">
        <v>50</v>
      </c>
      <c r="B146" s="19">
        <v>25058</v>
      </c>
      <c r="C146" s="33" t="s">
        <v>13</v>
      </c>
      <c r="D146" s="33" t="s">
        <v>120</v>
      </c>
      <c r="E146" s="33" t="s">
        <v>120</v>
      </c>
      <c r="F146" s="21">
        <v>1</v>
      </c>
      <c r="G146" s="20" t="s">
        <v>131</v>
      </c>
      <c r="H146" s="34">
        <v>79.6</v>
      </c>
      <c r="I146" s="34"/>
    </row>
    <row r="147" s="2" customFormat="1" ht="22" customHeight="1" spans="1:10">
      <c r="A147" s="18">
        <v>51</v>
      </c>
      <c r="B147" s="35">
        <v>25058</v>
      </c>
      <c r="C147" s="36" t="s">
        <v>13</v>
      </c>
      <c r="D147" s="36" t="s">
        <v>120</v>
      </c>
      <c r="E147" s="36" t="s">
        <v>120</v>
      </c>
      <c r="F147" s="37">
        <v>1</v>
      </c>
      <c r="G147" s="20" t="s">
        <v>132</v>
      </c>
      <c r="H147" s="34">
        <v>62.6</v>
      </c>
      <c r="I147" s="34"/>
    </row>
    <row r="148" s="2" customFormat="1" ht="22" customHeight="1" spans="1:10">
      <c r="A148" s="18">
        <v>52</v>
      </c>
      <c r="B148" s="38">
        <v>25058</v>
      </c>
      <c r="C148" s="33" t="s">
        <v>13</v>
      </c>
      <c r="D148" s="33" t="s">
        <v>120</v>
      </c>
      <c r="E148" s="33" t="s">
        <v>120</v>
      </c>
      <c r="F148" s="39">
        <v>1</v>
      </c>
      <c r="G148" s="20" t="s">
        <v>133</v>
      </c>
      <c r="H148" s="34">
        <v>62.6</v>
      </c>
      <c r="I148" s="34"/>
    </row>
    <row r="149" s="2" customFormat="1" ht="22" customHeight="1" spans="1:10">
      <c r="A149" s="18">
        <v>53</v>
      </c>
      <c r="B149" s="19">
        <v>25058</v>
      </c>
      <c r="C149" s="33" t="s">
        <v>13</v>
      </c>
      <c r="D149" s="33" t="s">
        <v>120</v>
      </c>
      <c r="E149" s="33" t="s">
        <v>120</v>
      </c>
      <c r="F149" s="21">
        <v>1</v>
      </c>
      <c r="G149" s="20" t="s">
        <v>134</v>
      </c>
      <c r="H149" s="34" t="s">
        <v>19</v>
      </c>
      <c r="I149" s="34"/>
    </row>
    <row r="150" s="2" customFormat="1" ht="22" customHeight="1" spans="1:10">
      <c r="A150" s="18">
        <v>54</v>
      </c>
      <c r="B150" s="19">
        <v>25058</v>
      </c>
      <c r="C150" s="33" t="s">
        <v>13</v>
      </c>
      <c r="D150" s="33" t="s">
        <v>120</v>
      </c>
      <c r="E150" s="33" t="s">
        <v>120</v>
      </c>
      <c r="F150" s="21">
        <v>1</v>
      </c>
      <c r="G150" s="20" t="s">
        <v>135</v>
      </c>
      <c r="H150" s="34" t="s">
        <v>19</v>
      </c>
      <c r="I150" s="34"/>
    </row>
    <row r="151" s="2" customFormat="1" ht="22" customHeight="1" spans="1:10">
      <c r="A151" s="18">
        <v>55</v>
      </c>
      <c r="B151" s="19">
        <v>25058</v>
      </c>
      <c r="C151" s="33" t="s">
        <v>13</v>
      </c>
      <c r="D151" s="33" t="s">
        <v>120</v>
      </c>
      <c r="E151" s="33" t="s">
        <v>120</v>
      </c>
      <c r="F151" s="21">
        <v>1</v>
      </c>
      <c r="G151" s="20" t="s">
        <v>136</v>
      </c>
      <c r="H151" s="34" t="s">
        <v>19</v>
      </c>
      <c r="I151" s="34"/>
    </row>
    <row r="152" s="2" customFormat="1" ht="22" customHeight="1" spans="1:10">
      <c r="A152" s="18">
        <v>56</v>
      </c>
      <c r="B152" s="19">
        <v>25058</v>
      </c>
      <c r="C152" s="33" t="s">
        <v>13</v>
      </c>
      <c r="D152" s="33" t="s">
        <v>120</v>
      </c>
      <c r="E152" s="33" t="s">
        <v>120</v>
      </c>
      <c r="F152" s="21">
        <v>1</v>
      </c>
      <c r="G152" s="20" t="s">
        <v>137</v>
      </c>
      <c r="H152" s="34" t="s">
        <v>19</v>
      </c>
      <c r="I152" s="34"/>
    </row>
    <row r="153" s="2" customFormat="1" ht="22" customHeight="1" spans="1:10">
      <c r="A153" s="18">
        <v>57</v>
      </c>
      <c r="B153" s="19">
        <v>25058</v>
      </c>
      <c r="C153" s="33" t="s">
        <v>13</v>
      </c>
      <c r="D153" s="33" t="s">
        <v>120</v>
      </c>
      <c r="E153" s="33" t="s">
        <v>120</v>
      </c>
      <c r="F153" s="21">
        <v>1</v>
      </c>
      <c r="G153" s="20" t="s">
        <v>138</v>
      </c>
      <c r="H153" s="34" t="s">
        <v>19</v>
      </c>
      <c r="I153" s="34"/>
    </row>
    <row r="154" s="2" customFormat="1" ht="22" customHeight="1" spans="1:10">
      <c r="A154" s="18">
        <v>58</v>
      </c>
      <c r="B154" s="19">
        <v>25058</v>
      </c>
      <c r="C154" s="33" t="s">
        <v>13</v>
      </c>
      <c r="D154" s="33" t="s">
        <v>120</v>
      </c>
      <c r="E154" s="33" t="s">
        <v>120</v>
      </c>
      <c r="F154" s="21">
        <v>1</v>
      </c>
      <c r="G154" s="20" t="s">
        <v>139</v>
      </c>
      <c r="H154" s="34" t="s">
        <v>140</v>
      </c>
      <c r="I154" s="34"/>
    </row>
    <row r="155" s="2" customFormat="1" ht="22" customHeight="1" spans="1:10">
      <c r="A155" s="40"/>
      <c r="B155" s="40"/>
      <c r="C155" s="41"/>
      <c r="D155" s="41"/>
      <c r="E155" s="41"/>
      <c r="F155" s="41"/>
      <c r="G155" s="40"/>
    </row>
    <row r="156" s="1" customFormat="1" ht="32" customHeight="1" spans="1:10">
      <c r="A156" s="30" t="s">
        <v>141</v>
      </c>
      <c r="B156" s="30"/>
      <c r="C156" s="30"/>
      <c r="D156" s="30"/>
      <c r="E156" s="30"/>
      <c r="F156" s="30"/>
      <c r="G156" s="30"/>
      <c r="H156" s="42"/>
      <c r="I156" s="28"/>
      <c r="J156" s="29"/>
    </row>
    <row r="157" s="2" customFormat="1" ht="73" customHeight="1" spans="1:10">
      <c r="A157" s="12" t="s">
        <v>2</v>
      </c>
      <c r="B157" s="13" t="s">
        <v>3</v>
      </c>
      <c r="C157" s="14" t="s">
        <v>4</v>
      </c>
      <c r="D157" s="14" t="s">
        <v>5</v>
      </c>
      <c r="E157" s="15" t="s">
        <v>6</v>
      </c>
      <c r="F157" s="15" t="s">
        <v>7</v>
      </c>
      <c r="G157" s="14" t="s">
        <v>8</v>
      </c>
      <c r="H157" s="15" t="s">
        <v>142</v>
      </c>
      <c r="I157" s="15" t="s">
        <v>143</v>
      </c>
      <c r="J157" s="43" t="s">
        <v>69</v>
      </c>
    </row>
    <row r="158" s="2" customFormat="1" customHeight="1" spans="1:10">
      <c r="A158" s="44">
        <v>1</v>
      </c>
      <c r="B158" s="44">
        <v>25056</v>
      </c>
      <c r="C158" s="44" t="s">
        <v>144</v>
      </c>
      <c r="D158" s="45" t="s">
        <v>145</v>
      </c>
      <c r="E158" s="46" t="s">
        <v>146</v>
      </c>
      <c r="F158" s="44">
        <v>1</v>
      </c>
      <c r="G158" s="20" t="s">
        <v>147</v>
      </c>
      <c r="H158" s="47">
        <v>76</v>
      </c>
      <c r="I158" s="48">
        <v>80.76</v>
      </c>
      <c r="J158" s="49">
        <f t="shared" ref="J158:J160" si="27">H158*0.5+I158*0.5</f>
        <v>78.38</v>
      </c>
    </row>
    <row r="159" s="2" customFormat="1" customHeight="1" spans="1:10">
      <c r="A159" s="20">
        <v>2</v>
      </c>
      <c r="B159" s="44">
        <v>25056</v>
      </c>
      <c r="C159" s="44" t="s">
        <v>144</v>
      </c>
      <c r="D159" s="45" t="s">
        <v>145</v>
      </c>
      <c r="E159" s="46" t="s">
        <v>146</v>
      </c>
      <c r="F159" s="44">
        <v>1</v>
      </c>
      <c r="G159" s="20" t="s">
        <v>148</v>
      </c>
      <c r="H159" s="50">
        <v>69.8333333333333</v>
      </c>
      <c r="I159" s="51">
        <v>77.38</v>
      </c>
      <c r="J159" s="49">
        <f t="shared" si="27"/>
        <v>73.6066666666667</v>
      </c>
    </row>
    <row r="160" s="2" customFormat="1" customHeight="1" spans="1:10">
      <c r="A160" s="44">
        <v>3</v>
      </c>
      <c r="B160" s="44">
        <v>25056</v>
      </c>
      <c r="C160" s="44" t="s">
        <v>144</v>
      </c>
      <c r="D160" s="45" t="s">
        <v>145</v>
      </c>
      <c r="E160" s="46" t="s">
        <v>146</v>
      </c>
      <c r="F160" s="44">
        <v>1</v>
      </c>
      <c r="G160" s="20" t="s">
        <v>149</v>
      </c>
      <c r="H160" s="50">
        <v>65.1666666666667</v>
      </c>
      <c r="I160" s="51">
        <v>75.3</v>
      </c>
      <c r="J160" s="49">
        <f t="shared" si="27"/>
        <v>70.2333333333333</v>
      </c>
    </row>
    <row r="161" s="2" customFormat="1" customHeight="1" spans="1:10">
      <c r="A161" s="20">
        <v>4</v>
      </c>
      <c r="B161" s="44">
        <v>25056</v>
      </c>
      <c r="C161" s="44" t="s">
        <v>144</v>
      </c>
      <c r="D161" s="45" t="s">
        <v>145</v>
      </c>
      <c r="E161" s="46" t="s">
        <v>146</v>
      </c>
      <c r="F161" s="44">
        <v>1</v>
      </c>
      <c r="G161" s="20" t="s">
        <v>150</v>
      </c>
      <c r="H161" s="50">
        <v>69.3333333333333</v>
      </c>
      <c r="I161" s="51" t="s">
        <v>19</v>
      </c>
      <c r="J161" s="49">
        <f>H161*0.5</f>
        <v>34.6666666666667</v>
      </c>
    </row>
    <row r="162" s="2" customFormat="1" customHeight="1" spans="1:10">
      <c r="A162" s="44">
        <v>5</v>
      </c>
      <c r="B162" s="44">
        <v>25056</v>
      </c>
      <c r="C162" s="44" t="s">
        <v>144</v>
      </c>
      <c r="D162" s="45" t="s">
        <v>145</v>
      </c>
      <c r="E162" s="46" t="s">
        <v>146</v>
      </c>
      <c r="F162" s="44">
        <v>1</v>
      </c>
      <c r="G162" s="20" t="s">
        <v>151</v>
      </c>
      <c r="H162" s="50">
        <v>65</v>
      </c>
      <c r="I162" s="51" t="s">
        <v>19</v>
      </c>
      <c r="J162" s="49">
        <f>H162*0.5</f>
        <v>32.5</v>
      </c>
    </row>
    <row r="163" s="2" customFormat="1" customHeight="1" spans="1:10">
      <c r="A163" s="20">
        <v>6</v>
      </c>
      <c r="B163" s="20">
        <v>25057</v>
      </c>
      <c r="C163" s="20" t="s">
        <v>152</v>
      </c>
      <c r="D163" s="45" t="s">
        <v>145</v>
      </c>
      <c r="E163" s="46" t="s">
        <v>146</v>
      </c>
      <c r="F163" s="21">
        <v>2</v>
      </c>
      <c r="G163" s="20" t="s">
        <v>153</v>
      </c>
      <c r="H163" s="50">
        <v>79.6666666666667</v>
      </c>
      <c r="I163" s="51">
        <v>84.46</v>
      </c>
      <c r="J163" s="49">
        <f t="shared" ref="J163:J172" si="28">H163*0.5+I163*0.5</f>
        <v>82.0633333333333</v>
      </c>
    </row>
    <row r="164" s="2" customFormat="1" customHeight="1" spans="1:10">
      <c r="A164" s="44">
        <v>7</v>
      </c>
      <c r="B164" s="20">
        <v>25057</v>
      </c>
      <c r="C164" s="20" t="s">
        <v>152</v>
      </c>
      <c r="D164" s="45" t="s">
        <v>145</v>
      </c>
      <c r="E164" s="46" t="s">
        <v>146</v>
      </c>
      <c r="F164" s="21">
        <v>2</v>
      </c>
      <c r="G164" s="20" t="s">
        <v>154</v>
      </c>
      <c r="H164" s="50">
        <v>76</v>
      </c>
      <c r="I164" s="51">
        <v>82.5</v>
      </c>
      <c r="J164" s="49">
        <f t="shared" si="28"/>
        <v>79.25</v>
      </c>
    </row>
    <row r="165" s="2" customFormat="1" customHeight="1" spans="1:10">
      <c r="A165" s="20">
        <v>8</v>
      </c>
      <c r="B165" s="20">
        <v>25057</v>
      </c>
      <c r="C165" s="20" t="s">
        <v>152</v>
      </c>
      <c r="D165" s="45" t="s">
        <v>145</v>
      </c>
      <c r="E165" s="46" t="s">
        <v>146</v>
      </c>
      <c r="F165" s="21">
        <v>2</v>
      </c>
      <c r="G165" s="20" t="s">
        <v>155</v>
      </c>
      <c r="H165" s="50">
        <v>75.1666666666667</v>
      </c>
      <c r="I165" s="51">
        <v>82.56</v>
      </c>
      <c r="J165" s="49">
        <f t="shared" si="28"/>
        <v>78.8633333333333</v>
      </c>
    </row>
    <row r="166" s="2" customFormat="1" customHeight="1" spans="1:10">
      <c r="A166" s="44">
        <v>9</v>
      </c>
      <c r="B166" s="20">
        <v>25057</v>
      </c>
      <c r="C166" s="20" t="s">
        <v>152</v>
      </c>
      <c r="D166" s="45" t="s">
        <v>145</v>
      </c>
      <c r="E166" s="46" t="s">
        <v>146</v>
      </c>
      <c r="F166" s="21">
        <v>2</v>
      </c>
      <c r="G166" s="20" t="s">
        <v>156</v>
      </c>
      <c r="H166" s="50">
        <v>76.3333333333333</v>
      </c>
      <c r="I166" s="51">
        <v>80.7</v>
      </c>
      <c r="J166" s="49">
        <f t="shared" si="28"/>
        <v>78.5166666666667</v>
      </c>
    </row>
    <row r="167" s="2" customFormat="1" customHeight="1" spans="1:10">
      <c r="A167" s="20">
        <v>10</v>
      </c>
      <c r="B167" s="20">
        <v>25057</v>
      </c>
      <c r="C167" s="20" t="s">
        <v>152</v>
      </c>
      <c r="D167" s="45" t="s">
        <v>145</v>
      </c>
      <c r="E167" s="46" t="s">
        <v>146</v>
      </c>
      <c r="F167" s="21">
        <v>2</v>
      </c>
      <c r="G167" s="20" t="s">
        <v>157</v>
      </c>
      <c r="H167" s="50">
        <v>75</v>
      </c>
      <c r="I167" s="51">
        <v>81.88</v>
      </c>
      <c r="J167" s="49">
        <f t="shared" si="28"/>
        <v>78.44</v>
      </c>
    </row>
    <row r="168" s="2" customFormat="1" customHeight="1" spans="1:10">
      <c r="A168" s="44">
        <v>11</v>
      </c>
      <c r="B168" s="20">
        <v>25057</v>
      </c>
      <c r="C168" s="20" t="s">
        <v>152</v>
      </c>
      <c r="D168" s="45" t="s">
        <v>145</v>
      </c>
      <c r="E168" s="46" t="s">
        <v>146</v>
      </c>
      <c r="F168" s="21">
        <v>2</v>
      </c>
      <c r="G168" s="20" t="s">
        <v>158</v>
      </c>
      <c r="H168" s="50">
        <v>72.8333333333333</v>
      </c>
      <c r="I168" s="51">
        <v>83.8</v>
      </c>
      <c r="J168" s="49">
        <f t="shared" si="28"/>
        <v>78.3166666666666</v>
      </c>
    </row>
    <row r="169" customHeight="1" spans="1:10">
      <c r="A169" s="20">
        <v>12</v>
      </c>
      <c r="B169" s="20">
        <v>25057</v>
      </c>
      <c r="C169" s="20" t="s">
        <v>152</v>
      </c>
      <c r="D169" s="45" t="s">
        <v>145</v>
      </c>
      <c r="E169" s="46" t="s">
        <v>146</v>
      </c>
      <c r="F169" s="21">
        <v>2</v>
      </c>
      <c r="G169" s="20" t="s">
        <v>159</v>
      </c>
      <c r="H169" s="50">
        <v>72.5</v>
      </c>
      <c r="I169" s="51">
        <v>83.02</v>
      </c>
      <c r="J169" s="49">
        <f t="shared" si="28"/>
        <v>77.76</v>
      </c>
    </row>
    <row r="170" customHeight="1" spans="1:10">
      <c r="A170" s="44">
        <v>13</v>
      </c>
      <c r="B170" s="20">
        <v>25057</v>
      </c>
      <c r="C170" s="20" t="s">
        <v>152</v>
      </c>
      <c r="D170" s="45" t="s">
        <v>145</v>
      </c>
      <c r="E170" s="46" t="s">
        <v>146</v>
      </c>
      <c r="F170" s="21">
        <v>2</v>
      </c>
      <c r="G170" s="20" t="s">
        <v>160</v>
      </c>
      <c r="H170" s="50">
        <v>72.6666666666667</v>
      </c>
      <c r="I170" s="51">
        <v>82.32</v>
      </c>
      <c r="J170" s="49">
        <f t="shared" si="28"/>
        <v>77.4933333333333</v>
      </c>
    </row>
    <row r="171" customHeight="1" spans="1:10">
      <c r="A171" s="20">
        <v>14</v>
      </c>
      <c r="B171" s="20">
        <v>25057</v>
      </c>
      <c r="C171" s="20" t="s">
        <v>152</v>
      </c>
      <c r="D171" s="45" t="s">
        <v>145</v>
      </c>
      <c r="E171" s="46" t="s">
        <v>146</v>
      </c>
      <c r="F171" s="21">
        <v>2</v>
      </c>
      <c r="G171" s="20" t="s">
        <v>161</v>
      </c>
      <c r="H171" s="50">
        <v>73.3333333333333</v>
      </c>
      <c r="I171" s="51">
        <v>79.98</v>
      </c>
      <c r="J171" s="49">
        <f t="shared" si="28"/>
        <v>76.6566666666667</v>
      </c>
    </row>
    <row r="172" customHeight="1" spans="1:10">
      <c r="A172" s="44">
        <v>15</v>
      </c>
      <c r="B172" s="20">
        <v>25057</v>
      </c>
      <c r="C172" s="20" t="s">
        <v>152</v>
      </c>
      <c r="D172" s="45" t="s">
        <v>145</v>
      </c>
      <c r="E172" s="46" t="s">
        <v>146</v>
      </c>
      <c r="F172" s="21">
        <v>2</v>
      </c>
      <c r="G172" s="20" t="s">
        <v>162</v>
      </c>
      <c r="H172" s="50">
        <v>71.5</v>
      </c>
      <c r="I172" s="51">
        <v>80.68</v>
      </c>
      <c r="J172" s="49">
        <f t="shared" si="28"/>
        <v>76.09</v>
      </c>
    </row>
  </sheetData>
  <mergeCells count="64">
    <mergeCell ref="B1:J1"/>
    <mergeCell ref="B2:J2"/>
    <mergeCell ref="A94:G94"/>
    <mergeCell ref="A95:G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A156:G156"/>
  </mergeCells>
  <pageMargins left="0.472222222222222" right="0.472222222222222" top="0.786805555555556" bottom="0.472222222222222" header="0.314583333333333" footer="0.314583333333333"/>
  <pageSetup paperSize="9" scale="61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面试成绩+总成绩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WPS_1648958775</cp:lastModifiedBy>
  <dcterms:created xsi:type="dcterms:W3CDTF">2025-12-16T03:31:00Z</dcterms:created>
  <dcterms:modified xsi:type="dcterms:W3CDTF">2026-01-12T03:39:45Z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28D3CC9F5D394F00B7CB8107B1AAF7B6_11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